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Tổng hợp" sheetId="7" r:id="rId1"/>
    <sheet name="BSĐK" sheetId="1" r:id="rId2"/>
    <sheet name="RHM" sheetId="2" r:id="rId3"/>
    <sheet name="YHDP" sheetId="3" r:id="rId4"/>
    <sheet name="Dược" sheetId="4" r:id="rId5"/>
    <sheet name="CNĐD" sheetId="5" r:id="rId6"/>
  </sheets>
  <definedNames>
    <definedName name="_xlnm.Print_Titles" localSheetId="1">BSĐK!$9:$9</definedName>
    <definedName name="_xlnm.Print_Titles" localSheetId="4">Dược!$8:$8</definedName>
  </definedNames>
  <calcPr calcId="125725"/>
</workbook>
</file>

<file path=xl/calcChain.xml><?xml version="1.0" encoding="utf-8"?>
<calcChain xmlns="http://schemas.openxmlformats.org/spreadsheetml/2006/main">
  <c r="C15" i="7"/>
  <c r="D15" l="1"/>
  <c r="K60" i="1"/>
  <c r="K59"/>
  <c r="K58"/>
  <c r="K57"/>
  <c r="K56"/>
  <c r="K61"/>
  <c r="K62"/>
  <c r="K63"/>
  <c r="K64"/>
  <c r="K65"/>
  <c r="K66"/>
  <c r="K67"/>
  <c r="K68"/>
  <c r="K69"/>
  <c r="K70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 l="1"/>
  <c r="K27"/>
  <c r="K26"/>
  <c r="K25"/>
  <c r="K24"/>
  <c r="K23"/>
  <c r="K22"/>
  <c r="K21"/>
  <c r="K20"/>
  <c r="K19"/>
  <c r="K73"/>
  <c r="L73" s="1"/>
  <c r="K71"/>
  <c r="L71" s="1"/>
  <c r="K18"/>
  <c r="K17"/>
  <c r="K16"/>
  <c r="K15"/>
  <c r="K14"/>
  <c r="K13"/>
  <c r="K12"/>
  <c r="K11"/>
  <c r="K10"/>
  <c r="K81"/>
  <c r="L81" s="1"/>
  <c r="K80"/>
  <c r="L80" s="1"/>
  <c r="K79"/>
  <c r="L79" s="1"/>
  <c r="K78"/>
  <c r="L78" s="1"/>
  <c r="K77"/>
  <c r="L77" s="1"/>
  <c r="K76"/>
  <c r="L76" s="1"/>
  <c r="K75"/>
  <c r="L75" s="1"/>
  <c r="K74"/>
  <c r="L74" s="1"/>
  <c r="K72"/>
  <c r="L72" s="1"/>
  <c r="K15" i="2"/>
  <c r="K14"/>
  <c r="K13"/>
  <c r="K12"/>
  <c r="K11"/>
  <c r="K10"/>
  <c r="K16" s="1"/>
  <c r="K13" i="3"/>
  <c r="K12"/>
  <c r="K11"/>
  <c r="K10"/>
  <c r="K14" s="1"/>
  <c r="K17" i="4"/>
  <c r="K16"/>
  <c r="K15"/>
  <c r="K14"/>
  <c r="K13"/>
  <c r="K12"/>
  <c r="K11"/>
  <c r="K19"/>
  <c r="L19" s="1"/>
  <c r="K10"/>
  <c r="K9"/>
  <c r="K10" i="5"/>
  <c r="K12"/>
  <c r="K11"/>
  <c r="K15"/>
  <c r="L15" s="1"/>
  <c r="K13"/>
  <c r="L13" s="1"/>
  <c r="K82" i="1" l="1"/>
  <c r="J14"/>
  <c r="L14" l="1"/>
  <c r="K17" i="5"/>
  <c r="L17" s="1"/>
  <c r="K16"/>
  <c r="L16" s="1"/>
  <c r="K14"/>
  <c r="K18" s="1"/>
  <c r="K22" i="4"/>
  <c r="L22" s="1"/>
  <c r="K21"/>
  <c r="L21" s="1"/>
  <c r="K20"/>
  <c r="L20" s="1"/>
  <c r="K18"/>
  <c r="K23" s="1"/>
  <c r="J12" i="5"/>
  <c r="L12" s="1"/>
  <c r="J11"/>
  <c r="L11" s="1"/>
  <c r="J10"/>
  <c r="J13" i="3"/>
  <c r="L13" s="1"/>
  <c r="J12"/>
  <c r="L12" s="1"/>
  <c r="J11"/>
  <c r="L11" s="1"/>
  <c r="J10"/>
  <c r="J15" i="2"/>
  <c r="L15" s="1"/>
  <c r="J14"/>
  <c r="L14" s="1"/>
  <c r="J13"/>
  <c r="L13" s="1"/>
  <c r="J12"/>
  <c r="L12" s="1"/>
  <c r="J11"/>
  <c r="L11" s="1"/>
  <c r="J10"/>
  <c r="J16" s="1"/>
  <c r="J70" i="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4"/>
  <c r="J45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5"/>
  <c r="J16"/>
  <c r="J13"/>
  <c r="J12"/>
  <c r="J11"/>
  <c r="J10"/>
  <c r="J18" i="5" l="1"/>
  <c r="J14" i="3"/>
  <c r="L11" i="1"/>
  <c r="L15"/>
  <c r="L18"/>
  <c r="L20"/>
  <c r="L22"/>
  <c r="L24"/>
  <c r="L26"/>
  <c r="L28"/>
  <c r="L30"/>
  <c r="L32"/>
  <c r="L34"/>
  <c r="L36"/>
  <c r="L38"/>
  <c r="L40"/>
  <c r="L42"/>
  <c r="L45"/>
  <c r="L46"/>
  <c r="L48"/>
  <c r="L50"/>
  <c r="L52"/>
  <c r="L54"/>
  <c r="L56"/>
  <c r="L58"/>
  <c r="L60"/>
  <c r="L62"/>
  <c r="L64"/>
  <c r="L66"/>
  <c r="L68"/>
  <c r="L70"/>
  <c r="L13"/>
  <c r="L10"/>
  <c r="J82"/>
  <c r="L12"/>
  <c r="L16"/>
  <c r="L17"/>
  <c r="L19"/>
  <c r="L21"/>
  <c r="L23"/>
  <c r="L25"/>
  <c r="L27"/>
  <c r="L29"/>
  <c r="L31"/>
  <c r="L33"/>
  <c r="L35"/>
  <c r="L37"/>
  <c r="L39"/>
  <c r="L41"/>
  <c r="L43"/>
  <c r="L44"/>
  <c r="L47"/>
  <c r="L49"/>
  <c r="L51"/>
  <c r="L53"/>
  <c r="L55"/>
  <c r="L57"/>
  <c r="L59"/>
  <c r="L61"/>
  <c r="L63"/>
  <c r="L65"/>
  <c r="L67"/>
  <c r="L69"/>
  <c r="L14" i="5"/>
  <c r="L10"/>
  <c r="L10" i="2"/>
  <c r="L16" s="1"/>
  <c r="L18" i="4"/>
  <c r="L10" i="3"/>
  <c r="L14" s="1"/>
  <c r="J17" i="4"/>
  <c r="L17" s="1"/>
  <c r="J16"/>
  <c r="L16" s="1"/>
  <c r="J15"/>
  <c r="L15" s="1"/>
  <c r="J14"/>
  <c r="L14" s="1"/>
  <c r="J13"/>
  <c r="L13" s="1"/>
  <c r="J12"/>
  <c r="L12" s="1"/>
  <c r="J11"/>
  <c r="L11" s="1"/>
  <c r="J10"/>
  <c r="L10" s="1"/>
  <c r="J9"/>
  <c r="J23" s="1"/>
  <c r="L18" i="5" l="1"/>
  <c r="L82" i="1"/>
  <c r="L9" i="4"/>
  <c r="L23" s="1"/>
</calcChain>
</file>

<file path=xl/sharedStrings.xml><?xml version="1.0" encoding="utf-8"?>
<sst xmlns="http://schemas.openxmlformats.org/spreadsheetml/2006/main" count="912" uniqueCount="468">
  <si>
    <t xml:space="preserve">    ĐẠI HỌC THÁI NGUYÊN</t>
  </si>
  <si>
    <t>TRƯỜNG ĐẠI HỌC Y DƯỢC</t>
  </si>
  <si>
    <t>STT</t>
  </si>
  <si>
    <t>Mã SV</t>
  </si>
  <si>
    <t>Ngày sinh</t>
  </si>
  <si>
    <t>Lớp</t>
  </si>
  <si>
    <t>Mức miễn giảm</t>
  </si>
  <si>
    <t>Ghi chú</t>
  </si>
  <si>
    <t xml:space="preserve">Hoàng Minh </t>
  </si>
  <si>
    <t>Đức</t>
  </si>
  <si>
    <t>Hà</t>
  </si>
  <si>
    <t>Tày</t>
  </si>
  <si>
    <t>Nùng</t>
  </si>
  <si>
    <t>10/10/1992</t>
  </si>
  <si>
    <t>Bế Thị Hồng</t>
  </si>
  <si>
    <t>Loan</t>
  </si>
  <si>
    <t xml:space="preserve">Hoàng Thị </t>
  </si>
  <si>
    <t>DTY1153210260</t>
  </si>
  <si>
    <t>Lê Thị Anh</t>
  </si>
  <si>
    <t>Thoa</t>
  </si>
  <si>
    <t>04/5/1992</t>
  </si>
  <si>
    <t>K44A</t>
  </si>
  <si>
    <t>DTY1153210502</t>
  </si>
  <si>
    <t>Hồng</t>
  </si>
  <si>
    <t>10/12/1992</t>
  </si>
  <si>
    <t>K44C</t>
  </si>
  <si>
    <t>San chí</t>
  </si>
  <si>
    <t>DTY1153210323 </t>
  </si>
  <si>
    <t xml:space="preserve">Trần Thanh </t>
  </si>
  <si>
    <t>Toàn</t>
  </si>
  <si>
    <t>24/10/1993</t>
  </si>
  <si>
    <t>K44D</t>
  </si>
  <si>
    <t>DTY1153210281</t>
  </si>
  <si>
    <t>Nguyễn Hoàng</t>
  </si>
  <si>
    <t>Gia</t>
  </si>
  <si>
    <t>22/3/1992</t>
  </si>
  <si>
    <t>DTY1153210198</t>
  </si>
  <si>
    <t xml:space="preserve">Quách Cẩm </t>
  </si>
  <si>
    <t>Tú</t>
  </si>
  <si>
    <t>03/9/1992</t>
  </si>
  <si>
    <t>K44E</t>
  </si>
  <si>
    <t>Mường</t>
  </si>
  <si>
    <t>DTY1153210193</t>
  </si>
  <si>
    <t xml:space="preserve">Cao Thị </t>
  </si>
  <si>
    <t>Trang</t>
  </si>
  <si>
    <t>15/6/1992</t>
  </si>
  <si>
    <t>DTY1153210204 </t>
  </si>
  <si>
    <t xml:space="preserve">Lục Thị </t>
  </si>
  <si>
    <t>Viên</t>
  </si>
  <si>
    <t>20/6/1992</t>
  </si>
  <si>
    <t>Thái</t>
  </si>
  <si>
    <t>DTY1153210052</t>
  </si>
  <si>
    <t>Mùng Duy</t>
  </si>
  <si>
    <t>Tân</t>
  </si>
  <si>
    <t>K44I</t>
  </si>
  <si>
    <t>10/9/1992</t>
  </si>
  <si>
    <t>DTY1153210064</t>
  </si>
  <si>
    <t xml:space="preserve">Lương Thị </t>
  </si>
  <si>
    <t>Trường</t>
  </si>
  <si>
    <t>03/02/1992</t>
  </si>
  <si>
    <t>DTY1153210049</t>
  </si>
  <si>
    <t xml:space="preserve">Hoàng Kim </t>
  </si>
  <si>
    <t>Sinh</t>
  </si>
  <si>
    <t>12/4/1992</t>
  </si>
  <si>
    <t>DTY1257201010158</t>
  </si>
  <si>
    <t xml:space="preserve">Hà Thị </t>
  </si>
  <si>
    <t>Hè</t>
  </si>
  <si>
    <t>28/10/1994</t>
  </si>
  <si>
    <t>K45A</t>
  </si>
  <si>
    <t>DTY1257201010148</t>
  </si>
  <si>
    <t xml:space="preserve">Dương Thị </t>
  </si>
  <si>
    <t>Chiều</t>
  </si>
  <si>
    <t>01/8/1993</t>
  </si>
  <si>
    <t>DTY1257201010153</t>
  </si>
  <si>
    <t>Phùng Trung</t>
  </si>
  <si>
    <t>14/3/1993</t>
  </si>
  <si>
    <t>DTY1257201010161</t>
  </si>
  <si>
    <t xml:space="preserve">Nguyễn Thị </t>
  </si>
  <si>
    <t>02/11/1992</t>
  </si>
  <si>
    <t>DTY1257201010013</t>
  </si>
  <si>
    <t>Nguyễn Thu Thanh</t>
  </si>
  <si>
    <t>Hằng</t>
  </si>
  <si>
    <t>K45B</t>
  </si>
  <si>
    <t>DTY1257201010021</t>
  </si>
  <si>
    <t>Phùng Thị Quỳnh</t>
  </si>
  <si>
    <t>Hương</t>
  </si>
  <si>
    <t>21/3/1993</t>
  </si>
  <si>
    <t>DTY1257201010278</t>
  </si>
  <si>
    <t xml:space="preserve">Nông Thị </t>
  </si>
  <si>
    <t>Hậu</t>
  </si>
  <si>
    <t>14/12/1993</t>
  </si>
  <si>
    <t>K45C</t>
  </si>
  <si>
    <t>DTY1257201010290</t>
  </si>
  <si>
    <t>Lý Thị Thùy</t>
  </si>
  <si>
    <t>Linh</t>
  </si>
  <si>
    <t>26/10/1992</t>
  </si>
  <si>
    <t>DTY1257201010452 </t>
  </si>
  <si>
    <t xml:space="preserve">Trần Văn </t>
  </si>
  <si>
    <t>Trận</t>
  </si>
  <si>
    <t>01/01/1990</t>
  </si>
  <si>
    <t>K45D</t>
  </si>
  <si>
    <t>DTY1257201010401</t>
  </si>
  <si>
    <t>Nguyễn Tuấn</t>
  </si>
  <si>
    <t>Anh</t>
  </si>
  <si>
    <t>23/01/1993</t>
  </si>
  <si>
    <t>DTY1257201010235 </t>
  </si>
  <si>
    <t>Cam Thị Thùy</t>
  </si>
  <si>
    <t>03/12/1993</t>
  </si>
  <si>
    <t>K45E</t>
  </si>
  <si>
    <t>DTY1257201010207 </t>
  </si>
  <si>
    <t xml:space="preserve">Triệu Thị </t>
  </si>
  <si>
    <t>Châm</t>
  </si>
  <si>
    <t>22/3/1993</t>
  </si>
  <si>
    <t>DTY1257201010221 </t>
  </si>
  <si>
    <t>Phạm Văn</t>
  </si>
  <si>
    <t>Hoài</t>
  </si>
  <si>
    <t>16/11/1992</t>
  </si>
  <si>
    <t>DTY1357201010158</t>
  </si>
  <si>
    <t>20/4/1994</t>
  </si>
  <si>
    <t>K46A</t>
  </si>
  <si>
    <t>DTY1357201010602</t>
  </si>
  <si>
    <t xml:space="preserve">Lô Phương </t>
  </si>
  <si>
    <t>Trà</t>
  </si>
  <si>
    <t>01/3/1994</t>
  </si>
  <si>
    <t>DTY1357201010328</t>
  </si>
  <si>
    <t>Hoàng Thị Thúy</t>
  </si>
  <si>
    <t>26/01/1995</t>
  </si>
  <si>
    <t xml:space="preserve">Lương Thị Hoài </t>
  </si>
  <si>
    <t>Thương</t>
  </si>
  <si>
    <t>16/12/1994</t>
  </si>
  <si>
    <t> DTY1357201010581</t>
  </si>
  <si>
    <t>DTY1357201010486</t>
  </si>
  <si>
    <t>Lê Thị Minh</t>
  </si>
  <si>
    <t>Quyên</t>
  </si>
  <si>
    <t>22/11/1995</t>
  </si>
  <si>
    <t>DTY1357201010046</t>
  </si>
  <si>
    <t xml:space="preserve">Trương Quyền </t>
  </si>
  <si>
    <t>Bảo</t>
  </si>
  <si>
    <t>18/8/1994</t>
  </si>
  <si>
    <t>K46B</t>
  </si>
  <si>
    <t>Hán</t>
  </si>
  <si>
    <t>DTY1357201010404 </t>
  </si>
  <si>
    <t xml:space="preserve">Chu Sĩ </t>
  </si>
  <si>
    <t>Nam</t>
  </si>
  <si>
    <t>17/7/1994</t>
  </si>
  <si>
    <t>DTY1357201010556 </t>
  </si>
  <si>
    <t xml:space="preserve">Lê Thị </t>
  </si>
  <si>
    <t>18/6/1994</t>
  </si>
  <si>
    <t>DTY1357201010057 </t>
  </si>
  <si>
    <t>Chi</t>
  </si>
  <si>
    <t>16/11/1995</t>
  </si>
  <si>
    <t>DTY1357201010484</t>
  </si>
  <si>
    <t>Nguyễn Minh</t>
  </si>
  <si>
    <t>Quang</t>
  </si>
  <si>
    <t>04/9/1994</t>
  </si>
  <si>
    <t>DTY1357201010702</t>
  </si>
  <si>
    <t>Xuân</t>
  </si>
  <si>
    <t>26/3/1995</t>
  </si>
  <si>
    <t>DTY1357201010478</t>
  </si>
  <si>
    <t xml:space="preserve">Hoàng Thị Kim </t>
  </si>
  <si>
    <t>Phượng</t>
  </si>
  <si>
    <t>24/4/1995</t>
  </si>
  <si>
    <t>K46C</t>
  </si>
  <si>
    <t>DTY1357201010059</t>
  </si>
  <si>
    <t xml:space="preserve">Đặng Thị </t>
  </si>
  <si>
    <t>Chinh</t>
  </si>
  <si>
    <t>24/01/1994</t>
  </si>
  <si>
    <t>DTY1357201010615</t>
  </si>
  <si>
    <t>27/8/1995</t>
  </si>
  <si>
    <t>DTY1357201010319</t>
  </si>
  <si>
    <t xml:space="preserve">Lương Văn </t>
  </si>
  <si>
    <t>Lập</t>
  </si>
  <si>
    <t>27/6/1995</t>
  </si>
  <si>
    <t>K46D</t>
  </si>
  <si>
    <t>DTY1357201010013</t>
  </si>
  <si>
    <t xml:space="preserve">Triệu Lan </t>
  </si>
  <si>
    <t>23/9/1995</t>
  </si>
  <si>
    <t>DTY1357201010347</t>
  </si>
  <si>
    <t>Nguyễn Thùy</t>
  </si>
  <si>
    <t>DTY1357201010269</t>
  </si>
  <si>
    <t xml:space="preserve">Nông Thị Thiên </t>
  </si>
  <si>
    <t>06/01/1994</t>
  </si>
  <si>
    <t>DTY1357201010121</t>
  </si>
  <si>
    <t>Hoàng Hải</t>
  </si>
  <si>
    <t>Đăng</t>
  </si>
  <si>
    <t>25/3/1994</t>
  </si>
  <si>
    <t>DTY1357201010291</t>
  </si>
  <si>
    <t xml:space="preserve">Diệp Thị </t>
  </si>
  <si>
    <t>Huyền</t>
  </si>
  <si>
    <t>30/7/1994</t>
  </si>
  <si>
    <t>Sán dìu</t>
  </si>
  <si>
    <t>DTY1357201010321</t>
  </si>
  <si>
    <t>25/6/1995</t>
  </si>
  <si>
    <t>Lê</t>
  </si>
  <si>
    <t>DTY1357201010429</t>
  </si>
  <si>
    <t>Ngọc</t>
  </si>
  <si>
    <t>07/10/1994</t>
  </si>
  <si>
    <t>K46E</t>
  </si>
  <si>
    <t>DTY1357201010474</t>
  </si>
  <si>
    <t xml:space="preserve">Hoàng Quốc </t>
  </si>
  <si>
    <t>Phương</t>
  </si>
  <si>
    <t>08/11/1994</t>
  </si>
  <si>
    <t>DTY1457201010188</t>
  </si>
  <si>
    <t>Trương Thị Hải</t>
  </si>
  <si>
    <t>22/7/1995</t>
  </si>
  <si>
    <t>K47A</t>
  </si>
  <si>
    <t xml:space="preserve">Mông Thị Bích </t>
  </si>
  <si>
    <t>25/10/1996</t>
  </si>
  <si>
    <t>K47C</t>
  </si>
  <si>
    <t>DTY1457201010105</t>
  </si>
  <si>
    <t>Dương Thị</t>
  </si>
  <si>
    <t>Hoa</t>
  </si>
  <si>
    <t>15/5/1996</t>
  </si>
  <si>
    <t>DTY1457201010179 </t>
  </si>
  <si>
    <t xml:space="preserve">Lưu Thùy </t>
  </si>
  <si>
    <t>01/02/1996</t>
  </si>
  <si>
    <t>DTY1457201010048 </t>
  </si>
  <si>
    <t xml:space="preserve">Lê Đức </t>
  </si>
  <si>
    <t>Dương</t>
  </si>
  <si>
    <t>Lý Viết</t>
  </si>
  <si>
    <t>Lương</t>
  </si>
  <si>
    <t>01/11/1996</t>
  </si>
  <si>
    <t>DTY1457201010248 </t>
  </si>
  <si>
    <t>Trần Thị Thu</t>
  </si>
  <si>
    <t>17/01/1995</t>
  </si>
  <si>
    <t>DTY1457201010387</t>
  </si>
  <si>
    <t>10/3/1995</t>
  </si>
  <si>
    <t>K47D</t>
  </si>
  <si>
    <t>DTY1557201010529</t>
  </si>
  <si>
    <t>Triệu Thị Kiều</t>
  </si>
  <si>
    <t>Thuyên</t>
  </si>
  <si>
    <t>04/6/1996</t>
  </si>
  <si>
    <t>K48A</t>
  </si>
  <si>
    <t>DTY1557201010475</t>
  </si>
  <si>
    <t>Thanh</t>
  </si>
  <si>
    <t>25/3/1997</t>
  </si>
  <si>
    <t>DTY1557201010184</t>
  </si>
  <si>
    <t xml:space="preserve">Lương Minh </t>
  </si>
  <si>
    <t>Hiệp</t>
  </si>
  <si>
    <t>01/11/1997</t>
  </si>
  <si>
    <t>DTY1557201010130 </t>
  </si>
  <si>
    <t>Đỗ Thị Hà</t>
  </si>
  <si>
    <t>09/11/1997</t>
  </si>
  <si>
    <t>DTY1557201010035 </t>
  </si>
  <si>
    <t>Hoàng Thị Ngọc</t>
  </si>
  <si>
    <t>Ánh</t>
  </si>
  <si>
    <t>11/11/1996</t>
  </si>
  <si>
    <t>DTY1557201010491</t>
  </si>
  <si>
    <t xml:space="preserve">Lộc Thị </t>
  </si>
  <si>
    <t>Thêm</t>
  </si>
  <si>
    <t>19/3/1996</t>
  </si>
  <si>
    <t>K48C</t>
  </si>
  <si>
    <t>DTY1557201010212</t>
  </si>
  <si>
    <t xml:space="preserve">Đàm Thị </t>
  </si>
  <si>
    <t>Huế</t>
  </si>
  <si>
    <t>29/8/1996</t>
  </si>
  <si>
    <t>DTY1557201010182</t>
  </si>
  <si>
    <t>Nguyễn Thị Thu</t>
  </si>
  <si>
    <t>Hiền</t>
  </si>
  <si>
    <t>15/9/1997</t>
  </si>
  <si>
    <t>DTY1557201010276</t>
  </si>
  <si>
    <t xml:space="preserve">Lò Thị </t>
  </si>
  <si>
    <t>Lan</t>
  </si>
  <si>
    <t>06/7/1996</t>
  </si>
  <si>
    <t>DTY1557201010114</t>
  </si>
  <si>
    <t xml:space="preserve">Phạm Thị </t>
  </si>
  <si>
    <t>Đào</t>
  </si>
  <si>
    <t>K48G</t>
  </si>
  <si>
    <t>DTY1557201010334</t>
  </si>
  <si>
    <t>Mai</t>
  </si>
  <si>
    <t>24/9/1996</t>
  </si>
  <si>
    <t>K48I</t>
  </si>
  <si>
    <t>DTY1557201010080</t>
  </si>
  <si>
    <t>Vàng Ngọc</t>
  </si>
  <si>
    <t>Dung</t>
  </si>
  <si>
    <t>16/10/1996</t>
  </si>
  <si>
    <t>DTY1557201010459 </t>
  </si>
  <si>
    <t xml:space="preserve">Đàm Thái </t>
  </si>
  <si>
    <t>Sơn</t>
  </si>
  <si>
    <t>09/10/1995</t>
  </si>
  <si>
    <t>DTY1557201010145</t>
  </si>
  <si>
    <t>Nông Thanh</t>
  </si>
  <si>
    <t>08/5/1996</t>
  </si>
  <si>
    <t>DTY1557201010266</t>
  </si>
  <si>
    <t>Trương Thành</t>
  </si>
  <si>
    <t>Kiên</t>
  </si>
  <si>
    <t>02/10/1996</t>
  </si>
  <si>
    <t>DTY1557201010151</t>
  </si>
  <si>
    <t>Đỗ Đình</t>
  </si>
  <si>
    <t>15/4/1995</t>
  </si>
  <si>
    <t>K48H</t>
  </si>
  <si>
    <t>DTY1557201010604 </t>
  </si>
  <si>
    <t>Trần Thị Thảo</t>
  </si>
  <si>
    <t>Vân</t>
  </si>
  <si>
    <t>12/10/1996</t>
  </si>
  <si>
    <t> DTY1457201010251</t>
  </si>
  <si>
    <t>Hoàng Thị Huyền</t>
  </si>
  <si>
    <t>14/7/1993</t>
  </si>
  <si>
    <t>RHM K4</t>
  </si>
  <si>
    <t>DTY1257206010033</t>
  </si>
  <si>
    <t xml:space="preserve">Ma Thị </t>
  </si>
  <si>
    <t>RHM K5</t>
  </si>
  <si>
    <t>DTY1457201010320</t>
  </si>
  <si>
    <t>15/02/1996</t>
  </si>
  <si>
    <t>DTY1357206010033</t>
  </si>
  <si>
    <t>Xuyến</t>
  </si>
  <si>
    <t>RHM K6</t>
  </si>
  <si>
    <t>DTY1357206010009 </t>
  </si>
  <si>
    <t>23/3/1995</t>
  </si>
  <si>
    <t>Cao lan</t>
  </si>
  <si>
    <t>DTY1557206010039</t>
  </si>
  <si>
    <t>Hoàng Thị Thanh</t>
  </si>
  <si>
    <t>Nhàn</t>
  </si>
  <si>
    <t>12/10/1997</t>
  </si>
  <si>
    <t>RHM K8</t>
  </si>
  <si>
    <t>DTY1557206010050</t>
  </si>
  <si>
    <t>Trương Lý</t>
  </si>
  <si>
    <t>26/12/1997</t>
  </si>
  <si>
    <t> DTY1153240016</t>
  </si>
  <si>
    <t>DTY1153230031</t>
  </si>
  <si>
    <t xml:space="preserve">Tô Thị </t>
  </si>
  <si>
    <t>21/12/1993</t>
  </si>
  <si>
    <t>YHDP K5</t>
  </si>
  <si>
    <t>DTY1257203020028</t>
  </si>
  <si>
    <t>13/10/1994</t>
  </si>
  <si>
    <t>YHDP K6</t>
  </si>
  <si>
    <t>DTY1257203020047 </t>
  </si>
  <si>
    <t>Đinh Thanh</t>
  </si>
  <si>
    <t>Tâm</t>
  </si>
  <si>
    <t>02/9/1993</t>
  </si>
  <si>
    <t>DTY1257204010084</t>
  </si>
  <si>
    <t xml:space="preserve">Lô Thị </t>
  </si>
  <si>
    <t>Châu</t>
  </si>
  <si>
    <t>26/4/1993</t>
  </si>
  <si>
    <t>Dược K8A</t>
  </si>
  <si>
    <t>Dược K8B</t>
  </si>
  <si>
    <t>DTY1257204010003 </t>
  </si>
  <si>
    <t>17/9/1993</t>
  </si>
  <si>
    <t>DTY1357204010072</t>
  </si>
  <si>
    <t>04/7/1994</t>
  </si>
  <si>
    <t>Dược K9A</t>
  </si>
  <si>
    <t>DTY1357204010005</t>
  </si>
  <si>
    <t xml:space="preserve">Đinh Thị </t>
  </si>
  <si>
    <t>15/9/1994</t>
  </si>
  <si>
    <t>DTY1357204010175 </t>
  </si>
  <si>
    <t>Lương Thị Hồng</t>
  </si>
  <si>
    <t>20/10/1994</t>
  </si>
  <si>
    <t xml:space="preserve">Nguyễn Hồng </t>
  </si>
  <si>
    <t>Dược K9B</t>
  </si>
  <si>
    <t>DTY1357204010042</t>
  </si>
  <si>
    <t xml:space="preserve">Bùi Thị </t>
  </si>
  <si>
    <t>02/02/1994</t>
  </si>
  <si>
    <t>DTY1457204010098</t>
  </si>
  <si>
    <t xml:space="preserve">Nguyễn Thu </t>
  </si>
  <si>
    <t>Uyên</t>
  </si>
  <si>
    <t>25/9/1996</t>
  </si>
  <si>
    <t>Dược K10B</t>
  </si>
  <si>
    <t>DTY1357204010150</t>
  </si>
  <si>
    <t>Hà Văn</t>
  </si>
  <si>
    <t>Tiến</t>
  </si>
  <si>
    <t>Dược K11A</t>
  </si>
  <si>
    <t>DTY1557204010021</t>
  </si>
  <si>
    <t xml:space="preserve">Nguyễn Quốc </t>
  </si>
  <si>
    <t>Đạt</t>
  </si>
  <si>
    <t>05/9/1997</t>
  </si>
  <si>
    <t>DTY1557204010099</t>
  </si>
  <si>
    <t>24/10/1996</t>
  </si>
  <si>
    <t>DTY1557204010106</t>
  </si>
  <si>
    <t>22/12/1996</t>
  </si>
  <si>
    <t>Dược K11B</t>
  </si>
  <si>
    <t>DTY1557204010114</t>
  </si>
  <si>
    <t>Nông Phương</t>
  </si>
  <si>
    <t>Thảo</t>
  </si>
  <si>
    <t>04/4/1996</t>
  </si>
  <si>
    <t>08/11/1997</t>
  </si>
  <si>
    <t>DTY1557204010017</t>
  </si>
  <si>
    <t>Đinh Bá</t>
  </si>
  <si>
    <t>Dũng</t>
  </si>
  <si>
    <t>05/12/1997</t>
  </si>
  <si>
    <t>DTY1557204010093</t>
  </si>
  <si>
    <t>Phúc</t>
  </si>
  <si>
    <t>30/3/1996</t>
  </si>
  <si>
    <t>DTY1357205010013 </t>
  </si>
  <si>
    <t>Thào A</t>
  </si>
  <si>
    <t>Hạng</t>
  </si>
  <si>
    <t>14/4/1995</t>
  </si>
  <si>
    <t>CNĐD K10A</t>
  </si>
  <si>
    <t>H'mông</t>
  </si>
  <si>
    <t>DTY1457205010040</t>
  </si>
  <si>
    <t>Vi Văn</t>
  </si>
  <si>
    <t>Kim</t>
  </si>
  <si>
    <t>30/3/1995</t>
  </si>
  <si>
    <t>CNĐD K11</t>
  </si>
  <si>
    <t>DTY1457205010022 </t>
  </si>
  <si>
    <t>Sùng A</t>
  </si>
  <si>
    <t>Hành</t>
  </si>
  <si>
    <t>06/10/1996</t>
  </si>
  <si>
    <t>Mông</t>
  </si>
  <si>
    <t>DTY1457205010060</t>
  </si>
  <si>
    <t>Nông Thị Thanh</t>
  </si>
  <si>
    <t>23/6/1996</t>
  </si>
  <si>
    <t>DTY1557205010009</t>
  </si>
  <si>
    <t>Bình</t>
  </si>
  <si>
    <t>04/12/1997</t>
  </si>
  <si>
    <t>CNĐD K12B</t>
  </si>
  <si>
    <t>DTY1557205010066 </t>
  </si>
  <si>
    <t>DTY1457205010049</t>
  </si>
  <si>
    <t>Dương Na</t>
  </si>
  <si>
    <t>Ly</t>
  </si>
  <si>
    <t>11/11/1995</t>
  </si>
  <si>
    <t>DTY1457205010008</t>
  </si>
  <si>
    <t>DTY1457201010191</t>
  </si>
  <si>
    <t>10/3/1994</t>
  </si>
  <si>
    <t>DTY1557203020071</t>
  </si>
  <si>
    <t>Trần Thanh</t>
  </si>
  <si>
    <t>YHDP K9</t>
  </si>
  <si>
    <t>HP tháng 12/2015</t>
  </si>
  <si>
    <t>HP từ tháng 1/2016 - 6/2016</t>
  </si>
  <si>
    <t xml:space="preserve">   ĐẠI HỌC THÁI NGUYÊN</t>
  </si>
  <si>
    <t>Ngành</t>
  </si>
  <si>
    <t xml:space="preserve">Tổng số tiền hoàn trả </t>
  </si>
  <si>
    <t xml:space="preserve">Tổng số SV được hoàn trả </t>
  </si>
  <si>
    <t>Bác sĩ đa khoa</t>
  </si>
  <si>
    <t>Bác sĩ Răng hàm mặt</t>
  </si>
  <si>
    <t>Bác sĩ Y học dự phòng</t>
  </si>
  <si>
    <t>Dược sĩ</t>
  </si>
  <si>
    <t>Điều dưỡng</t>
  </si>
  <si>
    <t xml:space="preserve">BẢNG TỔNG HỢP SINH VIÊN ĐƯỢC HOÀN TRẢ 70% TIỀN HỌC PHÍ </t>
  </si>
  <si>
    <t>Tổng</t>
  </si>
  <si>
    <t xml:space="preserve">KT.TRƯỞNG PHÒNG CT - HSSV </t>
  </si>
  <si>
    <t>PHÓ TRƯỞNG PHÒNG</t>
  </si>
  <si>
    <t>KT.HIỆU TRƯỞNG</t>
  </si>
  <si>
    <t>PHÓ HIỆU TRƯỞNG</t>
  </si>
  <si>
    <t>NGƯỜI LẬP BIỂU</t>
  </si>
  <si>
    <t>Hà Thị Trưng</t>
  </si>
  <si>
    <t xml:space="preserve">ThS. Lê Thị Lựu </t>
  </si>
  <si>
    <t>PGS.TS. Nguyễn Tiến Dũng</t>
  </si>
  <si>
    <t>(Đơn vị tính: Đồng)</t>
  </si>
  <si>
    <t>7 tháng</t>
  </si>
  <si>
    <t>6 tháng</t>
  </si>
  <si>
    <t>Ấn định danh sách gồm 14 sinh viên với số tiền là năm mươi chín triệu hai trăm mười nghìn bảy trăm ba mươi sáu đồng.</t>
  </si>
  <si>
    <t>Ấn định danh sách gồm 04 sinh viên với số tiền là mười sáu triệu hai trăm bảy mươi lăm nghìn bốn trăm hai mươi đồng.</t>
  </si>
  <si>
    <t>Ấn định danh sách gồm 06 sinh viên với số tiền là hai mươi tư triệu sáu trăm hai mươi tư nghìn bốn trăm sáu mươi hai đồng.</t>
  </si>
  <si>
    <t xml:space="preserve"> NĂM HỌC 2015 - 2016 (TỪ THÁNG 12/2015 - THÁNG 6/2016)</t>
  </si>
  <si>
    <t>NĂM HỌC 2015 - 2016 (TỪ THÁNG 12/2015 - THÁNG 6/2016)</t>
  </si>
  <si>
    <t>NĂM HỌC 2015 - 2016 (TỪ THÁNG 12/2015 - 6/2016)</t>
  </si>
  <si>
    <t>Ấn định danh sách gồm 72 sinh viên với số tiền là hai trăm tám mươi mốt triệu không trăm tám mươi lăm nghìn không trăm linh bảy nghìn đồng.</t>
  </si>
  <si>
    <t>Ấn định tổng số sinh viên hưởng chế độ là: 104 sinh viên</t>
  </si>
  <si>
    <t>KT.TRƯỞNG PHÒNG CT - HSSV</t>
  </si>
  <si>
    <t>ThS. Lê Thị Lựu</t>
  </si>
  <si>
    <t xml:space="preserve">DANH SÁCH SINH VIÊN NGÀNH BÁC SĨ ĐA KHOA ĐANG HỌC TẠI TRƯỜNG ĐƯỢC HOÀN TRẢ 70% TIỀN HỌC PHÍ </t>
  </si>
  <si>
    <t>DANH SÁCH SINH VIÊN NGÀNH BÁC SĨ RĂNG HÀM MẶT ĐANG HỌC TẠI TRƯỜNG ĐƯỢC HOÀN TRẢ 70% TIỀN HỌC PHÍ</t>
  </si>
  <si>
    <t>DANH SÁCH SINH VIÊN NGÀNH BÁC SĨ Y HỌC DỰ PHÒNG ĐANG HỌC TẠI TRƯỜNG ĐƯỢC HOÀN TRẢ 70% TIỀN HỌC PHÍ</t>
  </si>
  <si>
    <t>DANH SÁCH SINH VIÊN NGÀNH ĐIỀU DƯỠNG ĐANG HỌC TẠI TRƯỜNG ĐƯỢC HOÀN TRẢ 70% TIỀN HỌC PHÍ</t>
  </si>
  <si>
    <t>DANH SÁCH SINH VIÊN NGÀNH DƯỢC ĐANG HỌC TẠI TRƯỜNG ĐƯỢC HOÀN TRẢ 70% TIỀN HỌC PHÍ</t>
  </si>
  <si>
    <t>Tổng HP được giảm từ tháng 12/2015 - 6/2016</t>
  </si>
  <si>
    <t>Ấn định danh sách gồm 08 sinh viên với số tiền là ba mươi hai triệu bảy trăm tám mươi hai nghìn bảy trăm sáu mươi bảy đồng.</t>
  </si>
  <si>
    <t>Họ và</t>
  </si>
  <si>
    <t xml:space="preserve"> tên</t>
  </si>
  <si>
    <t>tên</t>
  </si>
  <si>
    <t>Ấn định tổng số tiền là: Bốn trăm mười ba triệu chín trăm bảy mươi tám nghìn ba trăm chín mươi hai đồng.</t>
  </si>
  <si>
    <t>Đối tượng</t>
  </si>
  <si>
    <t>Xã ĐBKK</t>
  </si>
  <si>
    <t>62 HN</t>
  </si>
  <si>
    <t>62HN</t>
  </si>
  <si>
    <t>(Kèm theo Quyết định số: 1675 /QĐ-ĐHYD ngày 8 tháng 9 năm 2016)</t>
  </si>
  <si>
    <t>(Đã ký)</t>
  </si>
  <si>
    <t>(Kèm theo Quyết định số: 1675/QĐ-ĐHYD ngày 8 tháng 9 năm 2016)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</si>
</sst>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1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/>
    <xf numFmtId="49" fontId="1" fillId="0" borderId="2" xfId="0" applyNumberFormat="1" applyFont="1" applyBorder="1"/>
    <xf numFmtId="0" fontId="1" fillId="0" borderId="11" xfId="0" applyFont="1" applyBorder="1"/>
    <xf numFmtId="9" fontId="1" fillId="0" borderId="8" xfId="0" applyNumberFormat="1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49" fontId="1" fillId="0" borderId="12" xfId="0" applyNumberFormat="1" applyFont="1" applyBorder="1"/>
    <xf numFmtId="0" fontId="1" fillId="0" borderId="3" xfId="0" applyFont="1" applyBorder="1" applyAlignment="1">
      <alignment horizontal="center"/>
    </xf>
    <xf numFmtId="49" fontId="0" fillId="0" borderId="0" xfId="0" applyNumberFormat="1"/>
    <xf numFmtId="0" fontId="1" fillId="0" borderId="15" xfId="0" applyFont="1" applyBorder="1"/>
    <xf numFmtId="9" fontId="1" fillId="0" borderId="16" xfId="0" applyNumberFormat="1" applyFont="1" applyBorder="1" applyAlignment="1">
      <alignment horizontal="center"/>
    </xf>
    <xf numFmtId="0" fontId="0" fillId="0" borderId="0" xfId="0" applyFont="1"/>
    <xf numFmtId="9" fontId="1" fillId="0" borderId="12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/>
    <xf numFmtId="0" fontId="1" fillId="2" borderId="2" xfId="0" applyFont="1" applyFill="1" applyBorder="1"/>
    <xf numFmtId="0" fontId="1" fillId="0" borderId="20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2" borderId="0" xfId="0" applyFont="1" applyFill="1" applyBorder="1"/>
    <xf numFmtId="49" fontId="1" fillId="0" borderId="0" xfId="0" applyNumberFormat="1" applyFont="1" applyBorder="1"/>
    <xf numFmtId="0" fontId="1" fillId="0" borderId="12" xfId="0" applyFont="1" applyBorder="1" applyAlignment="1">
      <alignment horizontal="center"/>
    </xf>
    <xf numFmtId="49" fontId="1" fillId="2" borderId="2" xfId="0" applyNumberFormat="1" applyFont="1" applyFill="1" applyBorder="1"/>
    <xf numFmtId="9" fontId="1" fillId="2" borderId="2" xfId="0" applyNumberFormat="1" applyFont="1" applyFill="1" applyBorder="1" applyAlignment="1">
      <alignment horizontal="center"/>
    </xf>
    <xf numFmtId="0" fontId="1" fillId="2" borderId="7" xfId="0" applyFont="1" applyFill="1" applyBorder="1"/>
    <xf numFmtId="0" fontId="1" fillId="2" borderId="14" xfId="0" applyFont="1" applyFill="1" applyBorder="1"/>
    <xf numFmtId="0" fontId="1" fillId="2" borderId="9" xfId="0" applyFont="1" applyFill="1" applyBorder="1"/>
    <xf numFmtId="3" fontId="2" fillId="2" borderId="1" xfId="0" applyNumberFormat="1" applyFont="1" applyFill="1" applyBorder="1" applyAlignment="1">
      <alignment horizontal="right"/>
    </xf>
    <xf numFmtId="2" fontId="1" fillId="0" borderId="0" xfId="0" applyNumberFormat="1" applyFont="1"/>
    <xf numFmtId="3" fontId="1" fillId="2" borderId="2" xfId="0" applyNumberFormat="1" applyFont="1" applyFill="1" applyBorder="1" applyAlignment="1">
      <alignment horizontal="right"/>
    </xf>
    <xf numFmtId="0" fontId="7" fillId="0" borderId="0" xfId="0" applyFont="1"/>
    <xf numFmtId="14" fontId="1" fillId="0" borderId="12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3" fontId="1" fillId="2" borderId="12" xfId="0" applyNumberFormat="1" applyFont="1" applyFill="1" applyBorder="1" applyAlignment="1">
      <alignment horizontal="right"/>
    </xf>
    <xf numFmtId="164" fontId="1" fillId="0" borderId="0" xfId="0" applyNumberFormat="1" applyFont="1"/>
    <xf numFmtId="164" fontId="0" fillId="0" borderId="0" xfId="0" applyNumberFormat="1"/>
    <xf numFmtId="164" fontId="2" fillId="0" borderId="17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3" fontId="1" fillId="0" borderId="8" xfId="0" applyNumberFormat="1" applyFont="1" applyBorder="1"/>
    <xf numFmtId="3" fontId="1" fillId="0" borderId="2" xfId="0" applyNumberFormat="1" applyFont="1" applyBorder="1"/>
    <xf numFmtId="3" fontId="6" fillId="2" borderId="2" xfId="0" applyNumberFormat="1" applyFont="1" applyFill="1" applyBorder="1" applyAlignment="1" applyProtection="1">
      <alignment wrapText="1"/>
    </xf>
    <xf numFmtId="3" fontId="6" fillId="2" borderId="21" xfId="0" applyNumberFormat="1" applyFont="1" applyFill="1" applyBorder="1" applyAlignment="1" applyProtection="1">
      <alignment wrapText="1"/>
    </xf>
    <xf numFmtId="3" fontId="1" fillId="0" borderId="2" xfId="0" applyNumberFormat="1" applyFont="1" applyBorder="1" applyAlignment="1">
      <alignment horizontal="right"/>
    </xf>
    <xf numFmtId="3" fontId="6" fillId="2" borderId="2" xfId="0" applyNumberFormat="1" applyFont="1" applyFill="1" applyBorder="1" applyAlignment="1">
      <alignment horizontal="right"/>
    </xf>
    <xf numFmtId="3" fontId="6" fillId="2" borderId="22" xfId="0" applyNumberFormat="1" applyFont="1" applyFill="1" applyBorder="1" applyAlignment="1" applyProtection="1">
      <alignment wrapText="1"/>
    </xf>
    <xf numFmtId="3" fontId="2" fillId="2" borderId="1" xfId="0" applyNumberFormat="1" applyFont="1" applyFill="1" applyBorder="1" applyAlignment="1"/>
    <xf numFmtId="3" fontId="1" fillId="2" borderId="21" xfId="0" applyNumberFormat="1" applyFont="1" applyFill="1" applyBorder="1" applyAlignment="1" applyProtection="1">
      <alignment wrapText="1"/>
    </xf>
    <xf numFmtId="3" fontId="1" fillId="0" borderId="8" xfId="0" applyNumberFormat="1" applyFont="1" applyBorder="1" applyAlignment="1">
      <alignment horizontal="right"/>
    </xf>
    <xf numFmtId="3" fontId="1" fillId="2" borderId="2" xfId="0" applyNumberFormat="1" applyFont="1" applyFill="1" applyBorder="1" applyAlignment="1" applyProtection="1">
      <alignment wrapText="1"/>
    </xf>
    <xf numFmtId="3" fontId="1" fillId="2" borderId="12" xfId="0" applyNumberFormat="1" applyFont="1" applyFill="1" applyBorder="1" applyAlignment="1" applyProtection="1">
      <alignment wrapText="1"/>
    </xf>
    <xf numFmtId="3" fontId="1" fillId="2" borderId="24" xfId="0" applyNumberFormat="1" applyFont="1" applyFill="1" applyBorder="1" applyAlignment="1" applyProtection="1">
      <alignment wrapText="1"/>
    </xf>
    <xf numFmtId="3" fontId="1" fillId="0" borderId="12" xfId="0" applyNumberFormat="1" applyFont="1" applyBorder="1" applyAlignment="1">
      <alignment horizontal="right"/>
    </xf>
    <xf numFmtId="3" fontId="2" fillId="2" borderId="1" xfId="0" applyNumberFormat="1" applyFont="1" applyFill="1" applyBorder="1" applyAlignment="1" applyProtection="1">
      <alignment wrapText="1"/>
    </xf>
    <xf numFmtId="3" fontId="2" fillId="0" borderId="1" xfId="0" applyNumberFormat="1" applyFont="1" applyBorder="1" applyAlignment="1">
      <alignment horizontal="right"/>
    </xf>
    <xf numFmtId="3" fontId="6" fillId="2" borderId="26" xfId="0" applyNumberFormat="1" applyFont="1" applyFill="1" applyBorder="1" applyAlignment="1" applyProtection="1">
      <alignment wrapText="1"/>
    </xf>
    <xf numFmtId="3" fontId="6" fillId="2" borderId="27" xfId="0" applyNumberFormat="1" applyFont="1" applyFill="1" applyBorder="1" applyAlignment="1" applyProtection="1">
      <alignment wrapText="1"/>
    </xf>
    <xf numFmtId="3" fontId="5" fillId="2" borderId="1" xfId="0" applyNumberFormat="1" applyFont="1" applyFill="1" applyBorder="1" applyAlignment="1" applyProtection="1">
      <alignment wrapText="1"/>
    </xf>
    <xf numFmtId="3" fontId="6" fillId="2" borderId="23" xfId="0" applyNumberFormat="1" applyFont="1" applyFill="1" applyBorder="1" applyAlignment="1" applyProtection="1">
      <alignment wrapText="1"/>
    </xf>
    <xf numFmtId="3" fontId="1" fillId="0" borderId="0" xfId="0" applyNumberFormat="1" applyFont="1"/>
    <xf numFmtId="3" fontId="2" fillId="0" borderId="0" xfId="0" applyNumberFormat="1" applyFont="1"/>
    <xf numFmtId="0" fontId="8" fillId="0" borderId="0" xfId="0" applyFont="1" applyFill="1" applyBorder="1"/>
    <xf numFmtId="0" fontId="9" fillId="0" borderId="0" xfId="0" applyFont="1"/>
    <xf numFmtId="49" fontId="9" fillId="0" borderId="0" xfId="0" applyNumberFormat="1" applyFont="1"/>
    <xf numFmtId="164" fontId="9" fillId="0" borderId="0" xfId="0" applyNumberFormat="1" applyFont="1"/>
    <xf numFmtId="164" fontId="7" fillId="0" borderId="3" xfId="0" applyNumberFormat="1" applyFont="1" applyBorder="1"/>
    <xf numFmtId="164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/>
    <xf numFmtId="164" fontId="2" fillId="0" borderId="0" xfId="0" applyNumberFormat="1" applyFont="1"/>
    <xf numFmtId="0" fontId="0" fillId="3" borderId="0" xfId="0" applyFont="1" applyFill="1"/>
    <xf numFmtId="0" fontId="1" fillId="0" borderId="1" xfId="0" applyFont="1" applyBorder="1"/>
    <xf numFmtId="0" fontId="7" fillId="0" borderId="16" xfId="0" applyFont="1" applyBorder="1"/>
    <xf numFmtId="0" fontId="1" fillId="0" borderId="16" xfId="0" applyFont="1" applyBorder="1" applyAlignment="1">
      <alignment horizontal="center"/>
    </xf>
    <xf numFmtId="0" fontId="1" fillId="0" borderId="16" xfId="0" applyFont="1" applyBorder="1"/>
    <xf numFmtId="0" fontId="1" fillId="0" borderId="29" xfId="0" applyFont="1" applyBorder="1"/>
    <xf numFmtId="0" fontId="1" fillId="2" borderId="30" xfId="0" applyFont="1" applyFill="1" applyBorder="1"/>
    <xf numFmtId="49" fontId="1" fillId="0" borderId="16" xfId="0" applyNumberFormat="1" applyFont="1" applyBorder="1"/>
    <xf numFmtId="3" fontId="6" fillId="2" borderId="16" xfId="0" applyNumberFormat="1" applyFont="1" applyFill="1" applyBorder="1" applyAlignment="1" applyProtection="1">
      <alignment wrapText="1"/>
    </xf>
    <xf numFmtId="3" fontId="6" fillId="2" borderId="31" xfId="0" applyNumberFormat="1" applyFont="1" applyFill="1" applyBorder="1" applyAlignment="1" applyProtection="1">
      <alignment wrapText="1"/>
    </xf>
    <xf numFmtId="3" fontId="1" fillId="0" borderId="16" xfId="0" applyNumberFormat="1" applyFont="1" applyBorder="1" applyAlignment="1">
      <alignment horizontal="right"/>
    </xf>
    <xf numFmtId="3" fontId="6" fillId="2" borderId="32" xfId="0" applyNumberFormat="1" applyFont="1" applyFill="1" applyBorder="1" applyAlignment="1" applyProtection="1">
      <alignment wrapText="1"/>
    </xf>
    <xf numFmtId="0" fontId="4" fillId="0" borderId="0" xfId="0" applyFont="1" applyBorder="1"/>
    <xf numFmtId="49" fontId="4" fillId="0" borderId="0" xfId="0" applyNumberFormat="1" applyFont="1" applyBorder="1"/>
    <xf numFmtId="0" fontId="8" fillId="0" borderId="0" xfId="0" applyFont="1" applyBorder="1"/>
    <xf numFmtId="49" fontId="8" fillId="0" borderId="0" xfId="0" applyNumberFormat="1" applyFont="1" applyBorder="1"/>
    <xf numFmtId="0" fontId="8" fillId="0" borderId="0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2" fontId="8" fillId="0" borderId="0" xfId="0" applyNumberFormat="1" applyFont="1"/>
    <xf numFmtId="0" fontId="2" fillId="0" borderId="28" xfId="0" applyFont="1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16" xfId="0" applyFont="1" applyBorder="1"/>
    <xf numFmtId="0" fontId="10" fillId="2" borderId="0" xfId="0" applyFont="1" applyFill="1" applyBorder="1"/>
    <xf numFmtId="2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3" fontId="2" fillId="0" borderId="16" xfId="0" applyNumberFormat="1" applyFont="1" applyBorder="1"/>
    <xf numFmtId="3" fontId="1" fillId="0" borderId="3" xfId="0" applyNumberFormat="1" applyFont="1" applyBorder="1"/>
    <xf numFmtId="3" fontId="0" fillId="0" borderId="0" xfId="0" applyNumberFormat="1"/>
    <xf numFmtId="3" fontId="0" fillId="0" borderId="0" xfId="0" applyNumberFormat="1" applyFont="1"/>
    <xf numFmtId="3" fontId="7" fillId="0" borderId="0" xfId="0" applyNumberFormat="1" applyFont="1"/>
    <xf numFmtId="3" fontId="0" fillId="0" borderId="0" xfId="0" applyNumberFormat="1" applyAlignment="1">
      <alignment horizontal="right"/>
    </xf>
    <xf numFmtId="0" fontId="2" fillId="0" borderId="0" xfId="0" applyFont="1" applyAlignment="1">
      <alignment horizontal="center"/>
    </xf>
    <xf numFmtId="3" fontId="6" fillId="2" borderId="8" xfId="0" applyNumberFormat="1" applyFont="1" applyFill="1" applyBorder="1" applyAlignment="1" applyProtection="1">
      <alignment wrapText="1"/>
    </xf>
    <xf numFmtId="3" fontId="1" fillId="2" borderId="8" xfId="0" applyNumberFormat="1" applyFont="1" applyFill="1" applyBorder="1" applyAlignment="1">
      <alignment horizontal="right"/>
    </xf>
    <xf numFmtId="0" fontId="1" fillId="0" borderId="28" xfId="0" applyFont="1" applyBorder="1" applyAlignment="1">
      <alignment horizontal="center"/>
    </xf>
    <xf numFmtId="0" fontId="1" fillId="0" borderId="28" xfId="0" applyFont="1" applyBorder="1"/>
    <xf numFmtId="0" fontId="1" fillId="2" borderId="33" xfId="0" applyFont="1" applyFill="1" applyBorder="1"/>
    <xf numFmtId="49" fontId="1" fillId="0" borderId="28" xfId="0" applyNumberFormat="1" applyFont="1" applyBorder="1"/>
    <xf numFmtId="9" fontId="1" fillId="0" borderId="28" xfId="0" applyNumberFormat="1" applyFont="1" applyBorder="1" applyAlignment="1">
      <alignment horizontal="center"/>
    </xf>
    <xf numFmtId="3" fontId="6" fillId="2" borderId="28" xfId="0" applyNumberFormat="1" applyFont="1" applyFill="1" applyBorder="1" applyAlignment="1" applyProtection="1">
      <alignment wrapText="1"/>
    </xf>
    <xf numFmtId="3" fontId="6" fillId="2" borderId="34" xfId="0" applyNumberFormat="1" applyFont="1" applyFill="1" applyBorder="1" applyAlignment="1" applyProtection="1">
      <alignment wrapText="1"/>
    </xf>
    <xf numFmtId="3" fontId="1" fillId="2" borderId="28" xfId="0" applyNumberFormat="1" applyFont="1" applyFill="1" applyBorder="1" applyAlignment="1">
      <alignment horizontal="right"/>
    </xf>
    <xf numFmtId="3" fontId="6" fillId="2" borderId="12" xfId="0" applyNumberFormat="1" applyFont="1" applyFill="1" applyBorder="1" applyAlignment="1" applyProtection="1">
      <alignment wrapText="1"/>
    </xf>
    <xf numFmtId="3" fontId="6" fillId="2" borderId="35" xfId="0" applyNumberFormat="1" applyFont="1" applyFill="1" applyBorder="1" applyAlignment="1" applyProtection="1">
      <alignment wrapText="1"/>
    </xf>
    <xf numFmtId="3" fontId="6" fillId="2" borderId="8" xfId="0" applyNumberFormat="1" applyFont="1" applyFill="1" applyBorder="1" applyAlignment="1">
      <alignment horizontal="right"/>
    </xf>
    <xf numFmtId="3" fontId="6" fillId="2" borderId="36" xfId="0" applyNumberFormat="1" applyFont="1" applyFill="1" applyBorder="1" applyAlignment="1" applyProtection="1">
      <alignment wrapText="1"/>
    </xf>
    <xf numFmtId="0" fontId="2" fillId="0" borderId="4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9" fontId="1" fillId="0" borderId="6" xfId="0" applyNumberFormat="1" applyFont="1" applyBorder="1" applyAlignment="1">
      <alignment horizontal="left"/>
    </xf>
    <xf numFmtId="0" fontId="1" fillId="2" borderId="6" xfId="0" applyFont="1" applyFill="1" applyBorder="1"/>
    <xf numFmtId="0" fontId="1" fillId="0" borderId="37" xfId="0" applyFont="1" applyBorder="1"/>
    <xf numFmtId="0" fontId="1" fillId="0" borderId="38" xfId="0" applyFont="1" applyBorder="1"/>
    <xf numFmtId="0" fontId="1" fillId="0" borderId="4" xfId="0" applyFont="1" applyBorder="1"/>
    <xf numFmtId="9" fontId="1" fillId="0" borderId="0" xfId="0" applyNumberFormat="1" applyFont="1" applyBorder="1"/>
    <xf numFmtId="9" fontId="1" fillId="0" borderId="15" xfId="0" applyNumberFormat="1" applyFont="1" applyBorder="1"/>
    <xf numFmtId="9" fontId="1" fillId="0" borderId="39" xfId="0" applyNumberFormat="1" applyFont="1" applyBorder="1"/>
    <xf numFmtId="9" fontId="1" fillId="0" borderId="7" xfId="0" applyNumberFormat="1" applyFont="1" applyBorder="1"/>
    <xf numFmtId="0" fontId="1" fillId="0" borderId="33" xfId="0" applyFont="1" applyBorder="1"/>
    <xf numFmtId="9" fontId="1" fillId="0" borderId="6" xfId="0" applyNumberFormat="1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right"/>
    </xf>
    <xf numFmtId="164" fontId="1" fillId="0" borderId="1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" fillId="0" borderId="9" xfId="0" applyFont="1" applyBorder="1"/>
    <xf numFmtId="3" fontId="1" fillId="2" borderId="8" xfId="0" applyNumberFormat="1" applyFont="1" applyFill="1" applyBorder="1" applyAlignment="1" applyProtection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2</xdr:row>
      <xdr:rowOff>28575</xdr:rowOff>
    </xdr:from>
    <xdr:to>
      <xdr:col>1</xdr:col>
      <xdr:colOff>1257300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276225" y="4286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1</xdr:col>
      <xdr:colOff>1323975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04800" y="40957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1314450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14325" y="4095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19050</xdr:rowOff>
    </xdr:from>
    <xdr:to>
      <xdr:col>1</xdr:col>
      <xdr:colOff>1190625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00050" y="419100"/>
          <a:ext cx="1162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1</xdr:col>
      <xdr:colOff>1314450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42900" y="409575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2</xdr:row>
      <xdr:rowOff>0</xdr:rowOff>
    </xdr:from>
    <xdr:to>
      <xdr:col>1</xdr:col>
      <xdr:colOff>1352550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76225" y="400050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A6" sqref="A6:E6"/>
    </sheetView>
  </sheetViews>
  <sheetFormatPr defaultRowHeight="15.75"/>
  <cols>
    <col min="1" max="1" width="5.140625" style="1" customWidth="1"/>
    <col min="2" max="2" width="20.85546875" style="1" customWidth="1"/>
    <col min="3" max="3" width="33.42578125" style="1" customWidth="1"/>
    <col min="4" max="4" width="22.42578125" style="1" customWidth="1"/>
    <col min="5" max="5" width="13.140625" style="1" customWidth="1"/>
    <col min="6" max="6" width="15.28515625" style="1" customWidth="1"/>
    <col min="7" max="16384" width="9.140625" style="1"/>
  </cols>
  <sheetData>
    <row r="1" spans="1:6">
      <c r="A1" s="1" t="s">
        <v>418</v>
      </c>
    </row>
    <row r="2" spans="1:6">
      <c r="A2" s="2" t="s">
        <v>1</v>
      </c>
    </row>
    <row r="4" spans="1:6">
      <c r="A4" s="157" t="s">
        <v>427</v>
      </c>
      <c r="B4" s="157"/>
      <c r="C4" s="157"/>
      <c r="D4" s="157"/>
      <c r="E4" s="157"/>
    </row>
    <row r="5" spans="1:6">
      <c r="A5" s="157" t="s">
        <v>444</v>
      </c>
      <c r="B5" s="157"/>
      <c r="C5" s="157"/>
      <c r="D5" s="157"/>
      <c r="E5" s="157"/>
    </row>
    <row r="6" spans="1:6">
      <c r="A6" s="158" t="s">
        <v>465</v>
      </c>
      <c r="B6" s="158"/>
      <c r="C6" s="158"/>
      <c r="D6" s="158"/>
      <c r="E6" s="158"/>
    </row>
    <row r="7" spans="1:6">
      <c r="D7" s="161" t="s">
        <v>437</v>
      </c>
      <c r="E7" s="161"/>
    </row>
    <row r="9" spans="1:6" ht="32.25" customHeight="1">
      <c r="A9" s="9" t="s">
        <v>2</v>
      </c>
      <c r="B9" s="9" t="s">
        <v>419</v>
      </c>
      <c r="C9" s="9" t="s">
        <v>421</v>
      </c>
      <c r="D9" s="9" t="s">
        <v>420</v>
      </c>
      <c r="E9" s="9" t="s">
        <v>7</v>
      </c>
    </row>
    <row r="10" spans="1:6" ht="23.25" customHeight="1">
      <c r="A10" s="21">
        <v>1</v>
      </c>
      <c r="B10" s="8" t="s">
        <v>422</v>
      </c>
      <c r="C10" s="21">
        <v>72</v>
      </c>
      <c r="D10" s="60">
        <v>281085006.69999999</v>
      </c>
      <c r="E10" s="8"/>
      <c r="F10" s="80"/>
    </row>
    <row r="11" spans="1:6" ht="23.25" customHeight="1">
      <c r="A11" s="22">
        <v>2</v>
      </c>
      <c r="B11" s="3" t="s">
        <v>423</v>
      </c>
      <c r="C11" s="22">
        <v>6</v>
      </c>
      <c r="D11" s="61">
        <v>24624462.239999998</v>
      </c>
      <c r="E11" s="3"/>
      <c r="F11" s="80"/>
    </row>
    <row r="12" spans="1:6" ht="23.25" customHeight="1">
      <c r="A12" s="22">
        <v>3</v>
      </c>
      <c r="B12" s="3" t="s">
        <v>424</v>
      </c>
      <c r="C12" s="22">
        <v>4</v>
      </c>
      <c r="D12" s="61">
        <v>16275420</v>
      </c>
      <c r="E12" s="3"/>
      <c r="F12" s="80"/>
    </row>
    <row r="13" spans="1:6" ht="23.25" customHeight="1">
      <c r="A13" s="22">
        <v>4</v>
      </c>
      <c r="B13" s="3" t="s">
        <v>425</v>
      </c>
      <c r="C13" s="22">
        <v>14</v>
      </c>
      <c r="D13" s="61">
        <v>59210736.479999997</v>
      </c>
      <c r="E13" s="3"/>
      <c r="F13" s="80"/>
    </row>
    <row r="14" spans="1:6" ht="23.25" customHeight="1">
      <c r="A14" s="27">
        <v>5</v>
      </c>
      <c r="B14" s="4" t="s">
        <v>426</v>
      </c>
      <c r="C14" s="27">
        <v>8</v>
      </c>
      <c r="D14" s="123">
        <v>32782766.899999999</v>
      </c>
      <c r="E14" s="4"/>
      <c r="F14" s="80"/>
    </row>
    <row r="15" spans="1:6" s="2" customFormat="1" ht="23.25" customHeight="1">
      <c r="A15" s="159" t="s">
        <v>428</v>
      </c>
      <c r="B15" s="160"/>
      <c r="C15" s="121">
        <f>SUM(C10:C14)</f>
        <v>104</v>
      </c>
      <c r="D15" s="122">
        <f>SUM(D10:D14)</f>
        <v>413978392.31999999</v>
      </c>
      <c r="E15" s="117"/>
      <c r="F15" s="81"/>
    </row>
    <row r="17" spans="1:5">
      <c r="A17" s="108" t="s">
        <v>447</v>
      </c>
      <c r="B17" s="108"/>
      <c r="C17" s="108"/>
    </row>
    <row r="18" spans="1:5">
      <c r="A18" s="108" t="s">
        <v>460</v>
      </c>
      <c r="B18" s="108"/>
      <c r="C18" s="108"/>
      <c r="D18" s="108"/>
      <c r="E18" s="108"/>
    </row>
    <row r="20" spans="1:5">
      <c r="A20" s="157" t="s">
        <v>433</v>
      </c>
      <c r="B20" s="157"/>
      <c r="C20" s="128" t="s">
        <v>448</v>
      </c>
      <c r="D20" s="157" t="s">
        <v>431</v>
      </c>
      <c r="E20" s="157"/>
    </row>
    <row r="21" spans="1:5">
      <c r="A21" s="2"/>
      <c r="B21" s="2"/>
      <c r="C21" s="128" t="s">
        <v>430</v>
      </c>
      <c r="D21" s="157" t="s">
        <v>432</v>
      </c>
      <c r="E21" s="157"/>
    </row>
    <row r="24" spans="1:5">
      <c r="D24" s="158" t="s">
        <v>466</v>
      </c>
      <c r="E24" s="158"/>
    </row>
    <row r="28" spans="1:5">
      <c r="A28" s="157" t="s">
        <v>434</v>
      </c>
      <c r="B28" s="157"/>
      <c r="C28" s="128" t="s">
        <v>449</v>
      </c>
      <c r="D28" s="157" t="s">
        <v>436</v>
      </c>
      <c r="E28" s="157"/>
    </row>
  </sheetData>
  <mergeCells count="11">
    <mergeCell ref="D21:E21"/>
    <mergeCell ref="A20:B20"/>
    <mergeCell ref="A28:B28"/>
    <mergeCell ref="D28:E28"/>
    <mergeCell ref="A4:E4"/>
    <mergeCell ref="A5:E5"/>
    <mergeCell ref="A6:E6"/>
    <mergeCell ref="A15:B15"/>
    <mergeCell ref="D20:E20"/>
    <mergeCell ref="D7:E7"/>
    <mergeCell ref="D24:E24"/>
  </mergeCells>
  <pageMargins left="0.7" right="0.25" top="0.48" bottom="0.75" header="1.01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6"/>
  <sheetViews>
    <sheetView topLeftCell="A70" workbookViewId="0">
      <selection activeCell="G79" sqref="G79"/>
    </sheetView>
  </sheetViews>
  <sheetFormatPr defaultRowHeight="15.75"/>
  <cols>
    <col min="1" max="1" width="4.5703125" style="1" customWidth="1"/>
    <col min="2" max="2" width="19.140625" style="1" customWidth="1"/>
    <col min="3" max="3" width="17" style="1" customWidth="1"/>
    <col min="4" max="4" width="7.42578125" style="1" customWidth="1"/>
    <col min="5" max="5" width="11.140625" style="14" customWidth="1"/>
    <col min="6" max="6" width="6.85546875" style="1" customWidth="1"/>
    <col min="7" max="7" width="7.5703125" style="1" customWidth="1"/>
    <col min="8" max="8" width="11" style="1" customWidth="1"/>
    <col min="9" max="9" width="10.140625" style="1" customWidth="1"/>
    <col min="10" max="10" width="11.85546875" style="111" customWidth="1"/>
    <col min="11" max="11" width="15.28515625" style="112" customWidth="1"/>
    <col min="12" max="12" width="17.85546875" style="112" customWidth="1"/>
    <col min="13" max="13" width="9.5703125" style="1" customWidth="1"/>
    <col min="14" max="16384" width="9.140625" style="1"/>
  </cols>
  <sheetData>
    <row r="1" spans="1:13">
      <c r="A1" s="1" t="s">
        <v>0</v>
      </c>
    </row>
    <row r="2" spans="1:13">
      <c r="A2" s="2" t="s">
        <v>1</v>
      </c>
      <c r="B2" s="2"/>
      <c r="C2" s="2"/>
    </row>
    <row r="4" spans="1:13">
      <c r="A4" s="157" t="s">
        <v>450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</row>
    <row r="5" spans="1:13">
      <c r="A5" s="157" t="s">
        <v>443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</row>
    <row r="6" spans="1:13">
      <c r="A6" s="158" t="s">
        <v>467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</row>
    <row r="7" spans="1:13">
      <c r="A7" s="53"/>
      <c r="B7" s="53"/>
      <c r="C7" s="53"/>
      <c r="D7" s="53"/>
      <c r="E7" s="53"/>
      <c r="F7" s="53"/>
      <c r="G7" s="53"/>
      <c r="H7" s="144"/>
      <c r="I7" s="144"/>
      <c r="J7" s="53"/>
      <c r="K7" s="161" t="s">
        <v>437</v>
      </c>
      <c r="L7" s="161"/>
      <c r="M7" s="161"/>
    </row>
    <row r="9" spans="1:13" ht="48" customHeight="1">
      <c r="A9" s="9" t="s">
        <v>2</v>
      </c>
      <c r="B9" s="10" t="s">
        <v>3</v>
      </c>
      <c r="C9" s="12" t="s">
        <v>457</v>
      </c>
      <c r="D9" s="11" t="s">
        <v>458</v>
      </c>
      <c r="E9" s="15" t="s">
        <v>4</v>
      </c>
      <c r="F9" s="9" t="s">
        <v>5</v>
      </c>
      <c r="G9" s="165" t="s">
        <v>461</v>
      </c>
      <c r="H9" s="166"/>
      <c r="I9" s="13" t="s">
        <v>6</v>
      </c>
      <c r="J9" s="113" t="s">
        <v>416</v>
      </c>
      <c r="K9" s="114" t="s">
        <v>417</v>
      </c>
      <c r="L9" s="114" t="s">
        <v>455</v>
      </c>
      <c r="M9" s="9" t="s">
        <v>7</v>
      </c>
    </row>
    <row r="10" spans="1:13" ht="21" customHeight="1">
      <c r="A10" s="131">
        <v>1</v>
      </c>
      <c r="B10" s="132" t="s">
        <v>17</v>
      </c>
      <c r="C10" s="5" t="s">
        <v>18</v>
      </c>
      <c r="D10" s="133" t="s">
        <v>19</v>
      </c>
      <c r="E10" s="134" t="s">
        <v>20</v>
      </c>
      <c r="F10" s="132" t="s">
        <v>21</v>
      </c>
      <c r="G10" s="5" t="s">
        <v>12</v>
      </c>
      <c r="H10" s="148" t="s">
        <v>462</v>
      </c>
      <c r="I10" s="135">
        <v>0.7</v>
      </c>
      <c r="J10" s="136">
        <f>3816000/5</f>
        <v>763200</v>
      </c>
      <c r="K10" s="137">
        <f>3831537.6+763200</f>
        <v>4594737.5999999996</v>
      </c>
      <c r="L10" s="138">
        <f>(J10+K10)*0.7</f>
        <v>3750556.3199999994</v>
      </c>
      <c r="M10" s="162" t="s">
        <v>438</v>
      </c>
    </row>
    <row r="11" spans="1:13" ht="21" customHeight="1">
      <c r="A11" s="22">
        <v>2</v>
      </c>
      <c r="B11" s="3" t="s">
        <v>22</v>
      </c>
      <c r="C11" s="6" t="s">
        <v>16</v>
      </c>
      <c r="D11" s="45" t="s">
        <v>23</v>
      </c>
      <c r="E11" s="17" t="s">
        <v>24</v>
      </c>
      <c r="F11" s="3" t="s">
        <v>25</v>
      </c>
      <c r="G11" s="6" t="s">
        <v>26</v>
      </c>
      <c r="H11" s="7" t="s">
        <v>462</v>
      </c>
      <c r="I11" s="20">
        <v>0.7</v>
      </c>
      <c r="J11" s="62">
        <f>3348000/5</f>
        <v>669600</v>
      </c>
      <c r="K11" s="62">
        <f>4346337.6+669600</f>
        <v>5015937.5999999996</v>
      </c>
      <c r="L11" s="50">
        <f>(J11+K11)*0.7</f>
        <v>3979876.3199999994</v>
      </c>
      <c r="M11" s="163"/>
    </row>
    <row r="12" spans="1:13" ht="21" customHeight="1">
      <c r="A12" s="22">
        <v>3</v>
      </c>
      <c r="B12" s="3" t="s">
        <v>32</v>
      </c>
      <c r="C12" s="6" t="s">
        <v>33</v>
      </c>
      <c r="D12" s="45" t="s">
        <v>34</v>
      </c>
      <c r="E12" s="17" t="s">
        <v>35</v>
      </c>
      <c r="F12" s="3" t="s">
        <v>31</v>
      </c>
      <c r="G12" s="6" t="s">
        <v>11</v>
      </c>
      <c r="H12" s="7" t="s">
        <v>462</v>
      </c>
      <c r="I12" s="20">
        <v>0.7</v>
      </c>
      <c r="J12" s="62">
        <f>3951216/5</f>
        <v>790243.2</v>
      </c>
      <c r="K12" s="62">
        <f>3682800+790243.2</f>
        <v>4473043.2</v>
      </c>
      <c r="L12" s="50">
        <f t="shared" ref="L12:L75" si="0">(J12+K12)*0.7</f>
        <v>3684300.48</v>
      </c>
      <c r="M12" s="163"/>
    </row>
    <row r="13" spans="1:13" ht="21" customHeight="1">
      <c r="A13" s="22">
        <v>4</v>
      </c>
      <c r="B13" s="3" t="s">
        <v>27</v>
      </c>
      <c r="C13" s="6" t="s">
        <v>28</v>
      </c>
      <c r="D13" s="45" t="s">
        <v>29</v>
      </c>
      <c r="E13" s="17" t="s">
        <v>30</v>
      </c>
      <c r="F13" s="3" t="s">
        <v>31</v>
      </c>
      <c r="G13" s="6" t="s">
        <v>11</v>
      </c>
      <c r="H13" s="7" t="s">
        <v>462</v>
      </c>
      <c r="I13" s="20">
        <v>0.7</v>
      </c>
      <c r="J13" s="62">
        <f>3951216/5</f>
        <v>790243.2</v>
      </c>
      <c r="K13" s="62">
        <f>3682800+790243.2</f>
        <v>4473043.2</v>
      </c>
      <c r="L13" s="50">
        <f t="shared" si="0"/>
        <v>3684300.48</v>
      </c>
      <c r="M13" s="163"/>
    </row>
    <row r="14" spans="1:13" ht="21" customHeight="1">
      <c r="A14" s="22">
        <v>5</v>
      </c>
      <c r="B14" s="3" t="s">
        <v>36</v>
      </c>
      <c r="C14" s="6" t="s">
        <v>37</v>
      </c>
      <c r="D14" s="45" t="s">
        <v>38</v>
      </c>
      <c r="E14" s="17" t="s">
        <v>39</v>
      </c>
      <c r="F14" s="3" t="s">
        <v>40</v>
      </c>
      <c r="G14" s="6" t="s">
        <v>41</v>
      </c>
      <c r="H14" s="7" t="s">
        <v>462</v>
      </c>
      <c r="I14" s="20">
        <v>0.7</v>
      </c>
      <c r="J14" s="62">
        <f>(4023216+540000)/5</f>
        <v>912643.2</v>
      </c>
      <c r="K14" s="62">
        <f>3603600+912643.2</f>
        <v>4516243.2</v>
      </c>
      <c r="L14" s="50">
        <f t="shared" si="0"/>
        <v>3800220.48</v>
      </c>
      <c r="M14" s="163"/>
    </row>
    <row r="15" spans="1:13" ht="21" customHeight="1">
      <c r="A15" s="22">
        <v>6</v>
      </c>
      <c r="B15" s="3" t="s">
        <v>42</v>
      </c>
      <c r="C15" s="6" t="s">
        <v>43</v>
      </c>
      <c r="D15" s="45" t="s">
        <v>44</v>
      </c>
      <c r="E15" s="17" t="s">
        <v>45</v>
      </c>
      <c r="F15" s="3" t="s">
        <v>40</v>
      </c>
      <c r="G15" s="6" t="s">
        <v>41</v>
      </c>
      <c r="H15" s="7" t="s">
        <v>462</v>
      </c>
      <c r="I15" s="20">
        <v>0.7</v>
      </c>
      <c r="J15" s="62">
        <f>4023216/5</f>
        <v>804643.2</v>
      </c>
      <c r="K15" s="62">
        <f>3603600+804643.2</f>
        <v>4408243.2</v>
      </c>
      <c r="L15" s="50">
        <f t="shared" si="0"/>
        <v>3649020.48</v>
      </c>
      <c r="M15" s="163"/>
    </row>
    <row r="16" spans="1:13" ht="21" customHeight="1">
      <c r="A16" s="22">
        <v>7</v>
      </c>
      <c r="B16" s="3" t="s">
        <v>46</v>
      </c>
      <c r="C16" s="6" t="s">
        <v>47</v>
      </c>
      <c r="D16" s="45" t="s">
        <v>48</v>
      </c>
      <c r="E16" s="17" t="s">
        <v>49</v>
      </c>
      <c r="F16" s="3" t="s">
        <v>40</v>
      </c>
      <c r="G16" s="6" t="s">
        <v>50</v>
      </c>
      <c r="H16" s="7" t="s">
        <v>462</v>
      </c>
      <c r="I16" s="20">
        <v>0.7</v>
      </c>
      <c r="J16" s="62">
        <f>4023216/5</f>
        <v>804643.2</v>
      </c>
      <c r="K16" s="62">
        <f>3603600+804643.2</f>
        <v>4408243.2</v>
      </c>
      <c r="L16" s="50">
        <f t="shared" si="0"/>
        <v>3649020.48</v>
      </c>
      <c r="M16" s="163"/>
    </row>
    <row r="17" spans="1:13" ht="21" customHeight="1">
      <c r="A17" s="22">
        <v>8</v>
      </c>
      <c r="B17" s="3" t="s">
        <v>60</v>
      </c>
      <c r="C17" s="6" t="s">
        <v>61</v>
      </c>
      <c r="D17" s="45" t="s">
        <v>62</v>
      </c>
      <c r="E17" s="17" t="s">
        <v>63</v>
      </c>
      <c r="F17" s="3" t="s">
        <v>54</v>
      </c>
      <c r="G17" s="6" t="s">
        <v>11</v>
      </c>
      <c r="H17" s="7" t="s">
        <v>462</v>
      </c>
      <c r="I17" s="20">
        <v>0.7</v>
      </c>
      <c r="J17" s="62">
        <f>3951216/5</f>
        <v>790243.2</v>
      </c>
      <c r="K17" s="62">
        <f>3682800+790243.2</f>
        <v>4473043.2</v>
      </c>
      <c r="L17" s="50">
        <f t="shared" si="0"/>
        <v>3684300.48</v>
      </c>
      <c r="M17" s="163"/>
    </row>
    <row r="18" spans="1:13" ht="21" customHeight="1">
      <c r="A18" s="22">
        <v>9</v>
      </c>
      <c r="B18" s="3" t="s">
        <v>51</v>
      </c>
      <c r="C18" s="6" t="s">
        <v>52</v>
      </c>
      <c r="D18" s="45" t="s">
        <v>53</v>
      </c>
      <c r="E18" s="17" t="s">
        <v>55</v>
      </c>
      <c r="F18" s="3" t="s">
        <v>54</v>
      </c>
      <c r="G18" s="6" t="s">
        <v>12</v>
      </c>
      <c r="H18" s="7" t="s">
        <v>462</v>
      </c>
      <c r="I18" s="20">
        <v>0.7</v>
      </c>
      <c r="J18" s="62">
        <f>3951216/5</f>
        <v>790243.2</v>
      </c>
      <c r="K18" s="62">
        <f>3682800+790243.2</f>
        <v>4473043.2</v>
      </c>
      <c r="L18" s="50">
        <f t="shared" si="0"/>
        <v>3684300.48</v>
      </c>
      <c r="M18" s="163"/>
    </row>
    <row r="19" spans="1:13" ht="21" customHeight="1">
      <c r="A19" s="22">
        <v>10</v>
      </c>
      <c r="B19" s="3" t="s">
        <v>69</v>
      </c>
      <c r="C19" s="6" t="s">
        <v>70</v>
      </c>
      <c r="D19" s="45" t="s">
        <v>71</v>
      </c>
      <c r="E19" s="17" t="s">
        <v>72</v>
      </c>
      <c r="F19" s="3" t="s">
        <v>68</v>
      </c>
      <c r="G19" s="6" t="s">
        <v>11</v>
      </c>
      <c r="H19" s="7" t="s">
        <v>462</v>
      </c>
      <c r="I19" s="20">
        <v>0.7</v>
      </c>
      <c r="J19" s="62">
        <f t="shared" ref="J19:J22" si="1">3636000/5</f>
        <v>727200</v>
      </c>
      <c r="K19" s="62">
        <f>4494600+727200</f>
        <v>5221800</v>
      </c>
      <c r="L19" s="50">
        <f t="shared" si="0"/>
        <v>4164299.9999999995</v>
      </c>
      <c r="M19" s="163"/>
    </row>
    <row r="20" spans="1:13" ht="21" customHeight="1">
      <c r="A20" s="22">
        <v>11</v>
      </c>
      <c r="B20" s="3" t="s">
        <v>73</v>
      </c>
      <c r="C20" s="6" t="s">
        <v>74</v>
      </c>
      <c r="D20" s="45" t="s">
        <v>9</v>
      </c>
      <c r="E20" s="17" t="s">
        <v>75</v>
      </c>
      <c r="F20" s="3" t="s">
        <v>68</v>
      </c>
      <c r="G20" s="6" t="s">
        <v>41</v>
      </c>
      <c r="H20" s="7" t="s">
        <v>462</v>
      </c>
      <c r="I20" s="20">
        <v>0.7</v>
      </c>
      <c r="J20" s="62">
        <f t="shared" si="1"/>
        <v>727200</v>
      </c>
      <c r="K20" s="62">
        <f t="shared" ref="K20:K26" si="2">4890600+727200</f>
        <v>5617800</v>
      </c>
      <c r="L20" s="50">
        <f t="shared" si="0"/>
        <v>4441500</v>
      </c>
      <c r="M20" s="163"/>
    </row>
    <row r="21" spans="1:13" ht="21" customHeight="1">
      <c r="A21" s="22">
        <v>12</v>
      </c>
      <c r="B21" s="3" t="s">
        <v>64</v>
      </c>
      <c r="C21" s="6" t="s">
        <v>65</v>
      </c>
      <c r="D21" s="45" t="s">
        <v>66</v>
      </c>
      <c r="E21" s="17" t="s">
        <v>67</v>
      </c>
      <c r="F21" s="3" t="s">
        <v>68</v>
      </c>
      <c r="G21" s="6" t="s">
        <v>11</v>
      </c>
      <c r="H21" s="7" t="s">
        <v>462</v>
      </c>
      <c r="I21" s="20">
        <v>0.7</v>
      </c>
      <c r="J21" s="62">
        <f t="shared" si="1"/>
        <v>727200</v>
      </c>
      <c r="K21" s="62">
        <f t="shared" si="2"/>
        <v>5617800</v>
      </c>
      <c r="L21" s="50">
        <f t="shared" si="0"/>
        <v>4441500</v>
      </c>
      <c r="M21" s="163"/>
    </row>
    <row r="22" spans="1:13" ht="21" customHeight="1">
      <c r="A22" s="22">
        <v>13</v>
      </c>
      <c r="B22" s="3" t="s">
        <v>76</v>
      </c>
      <c r="C22" s="6" t="s">
        <v>77</v>
      </c>
      <c r="D22" s="45" t="s">
        <v>23</v>
      </c>
      <c r="E22" s="17" t="s">
        <v>78</v>
      </c>
      <c r="F22" s="3" t="s">
        <v>68</v>
      </c>
      <c r="G22" s="6" t="s">
        <v>41</v>
      </c>
      <c r="H22" s="7" t="s">
        <v>462</v>
      </c>
      <c r="I22" s="20">
        <v>0.7</v>
      </c>
      <c r="J22" s="62">
        <f t="shared" si="1"/>
        <v>727200</v>
      </c>
      <c r="K22" s="62">
        <f t="shared" si="2"/>
        <v>5617800</v>
      </c>
      <c r="L22" s="50">
        <f t="shared" si="0"/>
        <v>4441500</v>
      </c>
      <c r="M22" s="163"/>
    </row>
    <row r="23" spans="1:13" ht="21" customHeight="1">
      <c r="A23" s="22">
        <v>14</v>
      </c>
      <c r="B23" s="3" t="s">
        <v>79</v>
      </c>
      <c r="C23" s="6" t="s">
        <v>80</v>
      </c>
      <c r="D23" s="45" t="s">
        <v>81</v>
      </c>
      <c r="E23" s="17" t="s">
        <v>13</v>
      </c>
      <c r="F23" s="3" t="s">
        <v>82</v>
      </c>
      <c r="G23" s="6" t="s">
        <v>11</v>
      </c>
      <c r="H23" s="7" t="s">
        <v>462</v>
      </c>
      <c r="I23" s="20">
        <v>0.7</v>
      </c>
      <c r="J23" s="62">
        <f>3636000/5</f>
        <v>727200</v>
      </c>
      <c r="K23" s="62">
        <f t="shared" si="2"/>
        <v>5617800</v>
      </c>
      <c r="L23" s="50">
        <f t="shared" si="0"/>
        <v>4441500</v>
      </c>
      <c r="M23" s="163"/>
    </row>
    <row r="24" spans="1:13" ht="21" customHeight="1">
      <c r="A24" s="22">
        <v>15</v>
      </c>
      <c r="B24" s="3" t="s">
        <v>83</v>
      </c>
      <c r="C24" s="6" t="s">
        <v>84</v>
      </c>
      <c r="D24" s="45" t="s">
        <v>85</v>
      </c>
      <c r="E24" s="17" t="s">
        <v>86</v>
      </c>
      <c r="F24" s="3" t="s">
        <v>82</v>
      </c>
      <c r="G24" s="6" t="s">
        <v>11</v>
      </c>
      <c r="H24" s="7" t="s">
        <v>462</v>
      </c>
      <c r="I24" s="20">
        <v>0.7</v>
      </c>
      <c r="J24" s="62">
        <f>3636000/5</f>
        <v>727200</v>
      </c>
      <c r="K24" s="62">
        <f t="shared" si="2"/>
        <v>5617800</v>
      </c>
      <c r="L24" s="50">
        <f t="shared" si="0"/>
        <v>4441500</v>
      </c>
      <c r="M24" s="163"/>
    </row>
    <row r="25" spans="1:13" ht="21" customHeight="1">
      <c r="A25" s="42">
        <v>16</v>
      </c>
      <c r="B25" s="23" t="s">
        <v>87</v>
      </c>
      <c r="C25" s="24" t="s">
        <v>88</v>
      </c>
      <c r="D25" s="46" t="s">
        <v>89</v>
      </c>
      <c r="E25" s="26" t="s">
        <v>90</v>
      </c>
      <c r="F25" s="23" t="s">
        <v>91</v>
      </c>
      <c r="G25" s="24" t="s">
        <v>11</v>
      </c>
      <c r="H25" s="7" t="s">
        <v>462</v>
      </c>
      <c r="I25" s="32">
        <v>0.7</v>
      </c>
      <c r="J25" s="139">
        <f>3636000/5</f>
        <v>727200</v>
      </c>
      <c r="K25" s="139">
        <f t="shared" si="2"/>
        <v>5617800</v>
      </c>
      <c r="L25" s="54">
        <f t="shared" si="0"/>
        <v>4441500</v>
      </c>
      <c r="M25" s="163"/>
    </row>
    <row r="26" spans="1:13" ht="21" customHeight="1">
      <c r="A26" s="22">
        <v>17</v>
      </c>
      <c r="B26" s="3" t="s">
        <v>92</v>
      </c>
      <c r="C26" s="6" t="s">
        <v>93</v>
      </c>
      <c r="D26" s="45" t="s">
        <v>94</v>
      </c>
      <c r="E26" s="17" t="s">
        <v>95</v>
      </c>
      <c r="F26" s="3" t="s">
        <v>91</v>
      </c>
      <c r="G26" s="6" t="s">
        <v>11</v>
      </c>
      <c r="H26" s="7" t="s">
        <v>462</v>
      </c>
      <c r="I26" s="20">
        <v>0.7</v>
      </c>
      <c r="J26" s="62">
        <f>3636000/5</f>
        <v>727200</v>
      </c>
      <c r="K26" s="140">
        <f t="shared" si="2"/>
        <v>5617800</v>
      </c>
      <c r="L26" s="50">
        <f t="shared" si="0"/>
        <v>4441500</v>
      </c>
      <c r="M26" s="163"/>
    </row>
    <row r="27" spans="1:13" ht="21" customHeight="1">
      <c r="A27" s="22">
        <v>18</v>
      </c>
      <c r="B27" s="3" t="s">
        <v>96</v>
      </c>
      <c r="C27" s="6" t="s">
        <v>97</v>
      </c>
      <c r="D27" s="45" t="s">
        <v>98</v>
      </c>
      <c r="E27" s="17" t="s">
        <v>99</v>
      </c>
      <c r="F27" s="3" t="s">
        <v>100</v>
      </c>
      <c r="G27" s="6" t="s">
        <v>11</v>
      </c>
      <c r="H27" s="7" t="s">
        <v>462</v>
      </c>
      <c r="I27" s="20">
        <v>0.7</v>
      </c>
      <c r="J27" s="62">
        <f>3951216/5</f>
        <v>790243.2</v>
      </c>
      <c r="K27" s="62">
        <f>3682800+790243.2</f>
        <v>4473043.2</v>
      </c>
      <c r="L27" s="50">
        <f t="shared" si="0"/>
        <v>3684300.48</v>
      </c>
      <c r="M27" s="164"/>
    </row>
    <row r="28" spans="1:13" ht="21" customHeight="1">
      <c r="A28" s="22">
        <v>19</v>
      </c>
      <c r="B28" s="3" t="s">
        <v>109</v>
      </c>
      <c r="C28" s="6" t="s">
        <v>110</v>
      </c>
      <c r="D28" s="45" t="s">
        <v>111</v>
      </c>
      <c r="E28" s="17" t="s">
        <v>112</v>
      </c>
      <c r="F28" s="3" t="s">
        <v>108</v>
      </c>
      <c r="G28" s="6" t="s">
        <v>12</v>
      </c>
      <c r="H28" s="7" t="s">
        <v>462</v>
      </c>
      <c r="I28" s="20">
        <v>0.7</v>
      </c>
      <c r="J28" s="62">
        <f>3636000/5</f>
        <v>727200</v>
      </c>
      <c r="K28" s="62">
        <f>4890600+727200</f>
        <v>5617800</v>
      </c>
      <c r="L28" s="50">
        <f t="shared" si="0"/>
        <v>4441500</v>
      </c>
      <c r="M28" s="173" t="s">
        <v>438</v>
      </c>
    </row>
    <row r="29" spans="1:13" ht="21" customHeight="1">
      <c r="A29" s="22">
        <v>20</v>
      </c>
      <c r="B29" s="3" t="s">
        <v>117</v>
      </c>
      <c r="C29" s="6" t="s">
        <v>16</v>
      </c>
      <c r="D29" s="45" t="s">
        <v>10</v>
      </c>
      <c r="E29" s="17" t="s">
        <v>118</v>
      </c>
      <c r="F29" s="3" t="s">
        <v>119</v>
      </c>
      <c r="G29" s="6" t="s">
        <v>26</v>
      </c>
      <c r="H29" s="7" t="s">
        <v>462</v>
      </c>
      <c r="I29" s="20">
        <v>0.7</v>
      </c>
      <c r="J29" s="62">
        <f>5400000/5</f>
        <v>1080000</v>
      </c>
      <c r="K29" s="62">
        <f>3762000+1080000</f>
        <v>4842000</v>
      </c>
      <c r="L29" s="50">
        <f t="shared" si="0"/>
        <v>4145399.9999999995</v>
      </c>
      <c r="M29" s="163"/>
    </row>
    <row r="30" spans="1:13" ht="21" customHeight="1">
      <c r="A30" s="22">
        <v>21</v>
      </c>
      <c r="B30" s="3" t="s">
        <v>131</v>
      </c>
      <c r="C30" s="6" t="s">
        <v>132</v>
      </c>
      <c r="D30" s="45" t="s">
        <v>133</v>
      </c>
      <c r="E30" s="17" t="s">
        <v>134</v>
      </c>
      <c r="F30" s="3" t="s">
        <v>119</v>
      </c>
      <c r="G30" s="6" t="s">
        <v>12</v>
      </c>
      <c r="H30" s="7" t="s">
        <v>462</v>
      </c>
      <c r="I30" s="20">
        <v>0.7</v>
      </c>
      <c r="J30" s="62">
        <f>5400000/5</f>
        <v>1080000</v>
      </c>
      <c r="K30" s="62">
        <f>3762000+1080000</f>
        <v>4842000</v>
      </c>
      <c r="L30" s="50">
        <f t="shared" si="0"/>
        <v>4145399.9999999995</v>
      </c>
      <c r="M30" s="163"/>
    </row>
    <row r="31" spans="1:13" ht="21" customHeight="1">
      <c r="A31" s="22">
        <v>22</v>
      </c>
      <c r="B31" s="3" t="s">
        <v>120</v>
      </c>
      <c r="C31" s="6" t="s">
        <v>121</v>
      </c>
      <c r="D31" s="45" t="s">
        <v>122</v>
      </c>
      <c r="E31" s="17" t="s">
        <v>123</v>
      </c>
      <c r="F31" s="3" t="s">
        <v>119</v>
      </c>
      <c r="G31" s="6" t="s">
        <v>50</v>
      </c>
      <c r="H31" s="7" t="s">
        <v>462</v>
      </c>
      <c r="I31" s="20">
        <v>0.7</v>
      </c>
      <c r="J31" s="62">
        <f>5400000/5</f>
        <v>1080000</v>
      </c>
      <c r="K31" s="62">
        <f>3762000+1080000</f>
        <v>4842000</v>
      </c>
      <c r="L31" s="50">
        <f t="shared" si="0"/>
        <v>4145399.9999999995</v>
      </c>
      <c r="M31" s="163"/>
    </row>
    <row r="32" spans="1:13" ht="21" customHeight="1">
      <c r="A32" s="22">
        <v>23</v>
      </c>
      <c r="B32" s="3" t="s">
        <v>135</v>
      </c>
      <c r="C32" s="6" t="s">
        <v>136</v>
      </c>
      <c r="D32" s="45" t="s">
        <v>137</v>
      </c>
      <c r="E32" s="17" t="s">
        <v>138</v>
      </c>
      <c r="F32" s="3" t="s">
        <v>139</v>
      </c>
      <c r="G32" s="6" t="s">
        <v>140</v>
      </c>
      <c r="H32" s="7" t="s">
        <v>462</v>
      </c>
      <c r="I32" s="20">
        <v>0.7</v>
      </c>
      <c r="J32" s="62">
        <f>5400000/5</f>
        <v>1080000</v>
      </c>
      <c r="K32" s="62">
        <f>3762000+1080000</f>
        <v>4842000</v>
      </c>
      <c r="L32" s="50">
        <f t="shared" si="0"/>
        <v>4145399.9999999995</v>
      </c>
      <c r="M32" s="163"/>
    </row>
    <row r="33" spans="1:13" ht="21" customHeight="1">
      <c r="A33" s="22">
        <v>24</v>
      </c>
      <c r="B33" s="3" t="s">
        <v>148</v>
      </c>
      <c r="C33" s="6" t="s">
        <v>16</v>
      </c>
      <c r="D33" s="45" t="s">
        <v>149</v>
      </c>
      <c r="E33" s="17" t="s">
        <v>150</v>
      </c>
      <c r="F33" s="3" t="s">
        <v>139</v>
      </c>
      <c r="G33" s="6" t="s">
        <v>12</v>
      </c>
      <c r="H33" s="7" t="s">
        <v>462</v>
      </c>
      <c r="I33" s="20">
        <v>0.7</v>
      </c>
      <c r="J33" s="62">
        <f>5400000/5</f>
        <v>1080000</v>
      </c>
      <c r="K33" s="62">
        <f>3762000+1080000</f>
        <v>4842000</v>
      </c>
      <c r="L33" s="50">
        <f t="shared" si="0"/>
        <v>4145399.9999999995</v>
      </c>
      <c r="M33" s="163"/>
    </row>
    <row r="34" spans="1:13" ht="21" customHeight="1">
      <c r="A34" s="22">
        <v>25</v>
      </c>
      <c r="B34" s="3" t="s">
        <v>141</v>
      </c>
      <c r="C34" s="6" t="s">
        <v>142</v>
      </c>
      <c r="D34" s="45" t="s">
        <v>143</v>
      </c>
      <c r="E34" s="17" t="s">
        <v>144</v>
      </c>
      <c r="F34" s="3" t="s">
        <v>139</v>
      </c>
      <c r="G34" s="6" t="s">
        <v>11</v>
      </c>
      <c r="H34" s="7" t="s">
        <v>462</v>
      </c>
      <c r="I34" s="20">
        <v>0.7</v>
      </c>
      <c r="J34" s="62">
        <f>3510000/5</f>
        <v>702000</v>
      </c>
      <c r="K34" s="62">
        <f>3762000+702000</f>
        <v>4464000</v>
      </c>
      <c r="L34" s="50">
        <f t="shared" si="0"/>
        <v>3616200</v>
      </c>
      <c r="M34" s="163"/>
    </row>
    <row r="35" spans="1:13" ht="21" customHeight="1">
      <c r="A35" s="22">
        <v>26</v>
      </c>
      <c r="B35" s="3" t="s">
        <v>151</v>
      </c>
      <c r="C35" s="6" t="s">
        <v>152</v>
      </c>
      <c r="D35" s="45" t="s">
        <v>153</v>
      </c>
      <c r="E35" s="17" t="s">
        <v>154</v>
      </c>
      <c r="F35" s="3" t="s">
        <v>139</v>
      </c>
      <c r="G35" s="6" t="s">
        <v>11</v>
      </c>
      <c r="H35" s="7" t="s">
        <v>462</v>
      </c>
      <c r="I35" s="20">
        <v>0.7</v>
      </c>
      <c r="J35" s="62">
        <f>4590000/5</f>
        <v>918000</v>
      </c>
      <c r="K35" s="62">
        <f>3762000+891000+918000</f>
        <v>5571000</v>
      </c>
      <c r="L35" s="50">
        <f t="shared" si="0"/>
        <v>4542300</v>
      </c>
      <c r="M35" s="163"/>
    </row>
    <row r="36" spans="1:13" ht="21" customHeight="1">
      <c r="A36" s="22">
        <v>27</v>
      </c>
      <c r="B36" s="3" t="s">
        <v>145</v>
      </c>
      <c r="C36" s="6" t="s">
        <v>146</v>
      </c>
      <c r="D36" s="45" t="s">
        <v>19</v>
      </c>
      <c r="E36" s="17" t="s">
        <v>147</v>
      </c>
      <c r="F36" s="3" t="s">
        <v>139</v>
      </c>
      <c r="G36" s="6" t="s">
        <v>11</v>
      </c>
      <c r="H36" s="7" t="s">
        <v>462</v>
      </c>
      <c r="I36" s="20">
        <v>0.7</v>
      </c>
      <c r="J36" s="62">
        <f t="shared" ref="J36:J47" si="3">5400000/5</f>
        <v>1080000</v>
      </c>
      <c r="K36" s="62">
        <f t="shared" ref="K36:K46" si="4">3762000+1080000</f>
        <v>4842000</v>
      </c>
      <c r="L36" s="50">
        <f t="shared" si="0"/>
        <v>4145399.9999999995</v>
      </c>
      <c r="M36" s="163"/>
    </row>
    <row r="37" spans="1:13" ht="21" customHeight="1">
      <c r="A37" s="22">
        <v>28</v>
      </c>
      <c r="B37" s="3" t="s">
        <v>163</v>
      </c>
      <c r="C37" s="6" t="s">
        <v>164</v>
      </c>
      <c r="D37" s="45" t="s">
        <v>165</v>
      </c>
      <c r="E37" s="17" t="s">
        <v>166</v>
      </c>
      <c r="F37" s="3" t="s">
        <v>162</v>
      </c>
      <c r="G37" s="6" t="s">
        <v>11</v>
      </c>
      <c r="H37" s="7" t="s">
        <v>462</v>
      </c>
      <c r="I37" s="20">
        <v>0.7</v>
      </c>
      <c r="J37" s="62">
        <f t="shared" si="3"/>
        <v>1080000</v>
      </c>
      <c r="K37" s="62">
        <f t="shared" si="4"/>
        <v>4842000</v>
      </c>
      <c r="L37" s="50">
        <f t="shared" si="0"/>
        <v>4145399.9999999995</v>
      </c>
      <c r="M37" s="163"/>
    </row>
    <row r="38" spans="1:13" ht="21" customHeight="1">
      <c r="A38" s="22">
        <v>29</v>
      </c>
      <c r="B38" s="3" t="s">
        <v>167</v>
      </c>
      <c r="C38" s="6" t="s">
        <v>8</v>
      </c>
      <c r="D38" s="45" t="s">
        <v>44</v>
      </c>
      <c r="E38" s="17" t="s">
        <v>168</v>
      </c>
      <c r="F38" s="3" t="s">
        <v>162</v>
      </c>
      <c r="G38" s="6" t="s">
        <v>12</v>
      </c>
      <c r="H38" s="7" t="s">
        <v>462</v>
      </c>
      <c r="I38" s="20">
        <v>0.7</v>
      </c>
      <c r="J38" s="62">
        <f t="shared" si="3"/>
        <v>1080000</v>
      </c>
      <c r="K38" s="62">
        <f t="shared" si="4"/>
        <v>4842000</v>
      </c>
      <c r="L38" s="50">
        <f t="shared" si="0"/>
        <v>4145399.9999999995</v>
      </c>
      <c r="M38" s="163"/>
    </row>
    <row r="39" spans="1:13" ht="21" customHeight="1">
      <c r="A39" s="22">
        <v>30</v>
      </c>
      <c r="B39" s="3" t="s">
        <v>174</v>
      </c>
      <c r="C39" s="6" t="s">
        <v>175</v>
      </c>
      <c r="D39" s="45" t="s">
        <v>103</v>
      </c>
      <c r="E39" s="17" t="s">
        <v>176</v>
      </c>
      <c r="F39" s="3" t="s">
        <v>173</v>
      </c>
      <c r="G39" s="6" t="s">
        <v>12</v>
      </c>
      <c r="H39" s="7" t="s">
        <v>462</v>
      </c>
      <c r="I39" s="20">
        <v>0.7</v>
      </c>
      <c r="J39" s="62">
        <f t="shared" si="3"/>
        <v>1080000</v>
      </c>
      <c r="K39" s="62">
        <f t="shared" si="4"/>
        <v>4842000</v>
      </c>
      <c r="L39" s="50">
        <f t="shared" si="0"/>
        <v>4145399.9999999995</v>
      </c>
      <c r="M39" s="163"/>
    </row>
    <row r="40" spans="1:13" ht="21" customHeight="1">
      <c r="A40" s="22">
        <v>31</v>
      </c>
      <c r="B40" s="3" t="s">
        <v>182</v>
      </c>
      <c r="C40" s="6" t="s">
        <v>183</v>
      </c>
      <c r="D40" s="45" t="s">
        <v>184</v>
      </c>
      <c r="E40" s="17" t="s">
        <v>185</v>
      </c>
      <c r="F40" s="3" t="s">
        <v>173</v>
      </c>
      <c r="G40" s="6" t="s">
        <v>11</v>
      </c>
      <c r="H40" s="7" t="s">
        <v>462</v>
      </c>
      <c r="I40" s="20">
        <v>0.7</v>
      </c>
      <c r="J40" s="62">
        <f t="shared" si="3"/>
        <v>1080000</v>
      </c>
      <c r="K40" s="62">
        <f t="shared" si="4"/>
        <v>4842000</v>
      </c>
      <c r="L40" s="50">
        <f t="shared" si="0"/>
        <v>4145399.9999999995</v>
      </c>
      <c r="M40" s="163"/>
    </row>
    <row r="41" spans="1:13" ht="21" customHeight="1">
      <c r="A41" s="22">
        <v>32</v>
      </c>
      <c r="B41" s="3" t="s">
        <v>179</v>
      </c>
      <c r="C41" s="6" t="s">
        <v>180</v>
      </c>
      <c r="D41" s="45" t="s">
        <v>85</v>
      </c>
      <c r="E41" s="17" t="s">
        <v>181</v>
      </c>
      <c r="F41" s="3" t="s">
        <v>173</v>
      </c>
      <c r="G41" s="6" t="s">
        <v>12</v>
      </c>
      <c r="H41" s="7" t="s">
        <v>462</v>
      </c>
      <c r="I41" s="20">
        <v>0.7</v>
      </c>
      <c r="J41" s="62">
        <f t="shared" si="3"/>
        <v>1080000</v>
      </c>
      <c r="K41" s="62">
        <f t="shared" si="4"/>
        <v>4842000</v>
      </c>
      <c r="L41" s="50">
        <f t="shared" si="0"/>
        <v>4145399.9999999995</v>
      </c>
      <c r="M41" s="163"/>
    </row>
    <row r="42" spans="1:13" ht="21" customHeight="1">
      <c r="A42" s="22">
        <v>33</v>
      </c>
      <c r="B42" s="3" t="s">
        <v>186</v>
      </c>
      <c r="C42" s="6" t="s">
        <v>187</v>
      </c>
      <c r="D42" s="45" t="s">
        <v>188</v>
      </c>
      <c r="E42" s="17" t="s">
        <v>189</v>
      </c>
      <c r="F42" s="3" t="s">
        <v>173</v>
      </c>
      <c r="G42" s="6" t="s">
        <v>190</v>
      </c>
      <c r="H42" s="7" t="s">
        <v>462</v>
      </c>
      <c r="I42" s="20">
        <v>0.7</v>
      </c>
      <c r="J42" s="62">
        <f t="shared" si="3"/>
        <v>1080000</v>
      </c>
      <c r="K42" s="62">
        <f t="shared" si="4"/>
        <v>4842000</v>
      </c>
      <c r="L42" s="50">
        <f t="shared" si="0"/>
        <v>4145399.9999999995</v>
      </c>
      <c r="M42" s="163"/>
    </row>
    <row r="43" spans="1:13" ht="21" customHeight="1">
      <c r="A43" s="22">
        <v>34</v>
      </c>
      <c r="B43" s="3" t="s">
        <v>169</v>
      </c>
      <c r="C43" s="6" t="s">
        <v>170</v>
      </c>
      <c r="D43" s="45" t="s">
        <v>171</v>
      </c>
      <c r="E43" s="17" t="s">
        <v>172</v>
      </c>
      <c r="F43" s="3" t="s">
        <v>173</v>
      </c>
      <c r="G43" s="6" t="s">
        <v>12</v>
      </c>
      <c r="H43" s="7" t="s">
        <v>462</v>
      </c>
      <c r="I43" s="20">
        <v>0.7</v>
      </c>
      <c r="J43" s="62">
        <f t="shared" si="3"/>
        <v>1080000</v>
      </c>
      <c r="K43" s="62">
        <f t="shared" si="4"/>
        <v>4842000</v>
      </c>
      <c r="L43" s="50">
        <f t="shared" si="0"/>
        <v>4145399.9999999995</v>
      </c>
      <c r="M43" s="163"/>
    </row>
    <row r="44" spans="1:13" ht="21" customHeight="1">
      <c r="A44" s="22">
        <v>35</v>
      </c>
      <c r="B44" s="3" t="s">
        <v>191</v>
      </c>
      <c r="C44" s="6" t="s">
        <v>88</v>
      </c>
      <c r="D44" s="45" t="s">
        <v>193</v>
      </c>
      <c r="E44" s="17" t="s">
        <v>192</v>
      </c>
      <c r="F44" s="3" t="s">
        <v>173</v>
      </c>
      <c r="G44" s="6" t="s">
        <v>11</v>
      </c>
      <c r="H44" s="7" t="s">
        <v>462</v>
      </c>
      <c r="I44" s="20">
        <v>0.7</v>
      </c>
      <c r="J44" s="62">
        <f t="shared" si="3"/>
        <v>1080000</v>
      </c>
      <c r="K44" s="62">
        <f t="shared" si="4"/>
        <v>4842000</v>
      </c>
      <c r="L44" s="50">
        <f t="shared" si="0"/>
        <v>4145399.9999999995</v>
      </c>
      <c r="M44" s="163"/>
    </row>
    <row r="45" spans="1:13" ht="21" customHeight="1">
      <c r="A45" s="22">
        <v>36</v>
      </c>
      <c r="B45" s="3" t="s">
        <v>177</v>
      </c>
      <c r="C45" s="6" t="s">
        <v>178</v>
      </c>
      <c r="D45" s="45" t="s">
        <v>94</v>
      </c>
      <c r="E45" s="17" t="s">
        <v>166</v>
      </c>
      <c r="F45" s="3" t="s">
        <v>173</v>
      </c>
      <c r="G45" s="6" t="s">
        <v>11</v>
      </c>
      <c r="H45" s="7" t="s">
        <v>462</v>
      </c>
      <c r="I45" s="20">
        <v>0.7</v>
      </c>
      <c r="J45" s="62">
        <f t="shared" si="3"/>
        <v>1080000</v>
      </c>
      <c r="K45" s="62">
        <f t="shared" si="4"/>
        <v>4842000</v>
      </c>
      <c r="L45" s="50">
        <f t="shared" si="0"/>
        <v>4145399.9999999995</v>
      </c>
      <c r="M45" s="163"/>
    </row>
    <row r="46" spans="1:13" ht="21" customHeight="1">
      <c r="A46" s="22">
        <v>37</v>
      </c>
      <c r="B46" s="3" t="s">
        <v>194</v>
      </c>
      <c r="C46" s="6" t="s">
        <v>47</v>
      </c>
      <c r="D46" s="45" t="s">
        <v>195</v>
      </c>
      <c r="E46" s="17" t="s">
        <v>196</v>
      </c>
      <c r="F46" s="3" t="s">
        <v>197</v>
      </c>
      <c r="G46" s="6" t="s">
        <v>41</v>
      </c>
      <c r="H46" s="7" t="s">
        <v>463</v>
      </c>
      <c r="I46" s="20">
        <v>0.7</v>
      </c>
      <c r="J46" s="62">
        <f t="shared" si="3"/>
        <v>1080000</v>
      </c>
      <c r="K46" s="62">
        <f t="shared" si="4"/>
        <v>4842000</v>
      </c>
      <c r="L46" s="50">
        <f t="shared" si="0"/>
        <v>4145399.9999999995</v>
      </c>
      <c r="M46" s="163"/>
    </row>
    <row r="47" spans="1:13" ht="21" customHeight="1">
      <c r="A47" s="22">
        <v>38</v>
      </c>
      <c r="B47" s="3" t="s">
        <v>198</v>
      </c>
      <c r="C47" s="6" t="s">
        <v>199</v>
      </c>
      <c r="D47" s="45" t="s">
        <v>200</v>
      </c>
      <c r="E47" s="17" t="s">
        <v>201</v>
      </c>
      <c r="F47" s="3" t="s">
        <v>197</v>
      </c>
      <c r="G47" s="6" t="s">
        <v>11</v>
      </c>
      <c r="H47" s="7" t="s">
        <v>462</v>
      </c>
      <c r="I47" s="20">
        <v>0.7</v>
      </c>
      <c r="J47" s="62">
        <f t="shared" si="3"/>
        <v>1080000</v>
      </c>
      <c r="K47" s="62">
        <f>3762000+594000+1080000</f>
        <v>5436000</v>
      </c>
      <c r="L47" s="50">
        <f t="shared" si="0"/>
        <v>4561200</v>
      </c>
      <c r="M47" s="163"/>
    </row>
    <row r="48" spans="1:13" ht="21" customHeight="1">
      <c r="A48" s="22">
        <v>39</v>
      </c>
      <c r="B48" s="3" t="s">
        <v>202</v>
      </c>
      <c r="C48" s="6" t="s">
        <v>203</v>
      </c>
      <c r="D48" s="45" t="s">
        <v>15</v>
      </c>
      <c r="E48" s="17" t="s">
        <v>204</v>
      </c>
      <c r="F48" s="3" t="s">
        <v>205</v>
      </c>
      <c r="G48" s="6" t="s">
        <v>11</v>
      </c>
      <c r="H48" s="7" t="s">
        <v>462</v>
      </c>
      <c r="I48" s="20">
        <v>0.7</v>
      </c>
      <c r="J48" s="62">
        <f>4950000/5</f>
        <v>990000</v>
      </c>
      <c r="K48" s="62">
        <f>4752000+990000</f>
        <v>5742000</v>
      </c>
      <c r="L48" s="50">
        <f t="shared" si="0"/>
        <v>4712400</v>
      </c>
      <c r="M48" s="163"/>
    </row>
    <row r="49" spans="1:13" ht="21" customHeight="1">
      <c r="A49" s="22">
        <v>40</v>
      </c>
      <c r="B49" s="3" t="s">
        <v>216</v>
      </c>
      <c r="C49" s="6" t="s">
        <v>217</v>
      </c>
      <c r="D49" s="45" t="s">
        <v>218</v>
      </c>
      <c r="E49" s="17" t="s">
        <v>161</v>
      </c>
      <c r="F49" s="3" t="s">
        <v>208</v>
      </c>
      <c r="G49" s="6" t="s">
        <v>41</v>
      </c>
      <c r="H49" s="7" t="s">
        <v>462</v>
      </c>
      <c r="I49" s="20">
        <v>0.7</v>
      </c>
      <c r="J49" s="62">
        <f>4950000/5</f>
        <v>990000</v>
      </c>
      <c r="K49" s="62">
        <f>4158000+990000</f>
        <v>5148000</v>
      </c>
      <c r="L49" s="50">
        <f t="shared" si="0"/>
        <v>4296600</v>
      </c>
      <c r="M49" s="163"/>
    </row>
    <row r="50" spans="1:13" ht="21" customHeight="1">
      <c r="A50" s="22">
        <v>41</v>
      </c>
      <c r="B50" s="3" t="s">
        <v>209</v>
      </c>
      <c r="C50" s="6" t="s">
        <v>210</v>
      </c>
      <c r="D50" s="45" t="s">
        <v>211</v>
      </c>
      <c r="E50" s="17" t="s">
        <v>212</v>
      </c>
      <c r="F50" s="3" t="s">
        <v>208</v>
      </c>
      <c r="G50" s="6" t="s">
        <v>11</v>
      </c>
      <c r="H50" s="7" t="s">
        <v>462</v>
      </c>
      <c r="I50" s="20">
        <v>0.7</v>
      </c>
      <c r="J50" s="62">
        <f>4950000/5</f>
        <v>990000</v>
      </c>
      <c r="K50" s="62">
        <f>4752000+990000</f>
        <v>5742000</v>
      </c>
      <c r="L50" s="50">
        <f t="shared" si="0"/>
        <v>4712400</v>
      </c>
      <c r="M50" s="163"/>
    </row>
    <row r="51" spans="1:13" ht="21" customHeight="1">
      <c r="A51" s="22">
        <v>42</v>
      </c>
      <c r="B51" s="3" t="s">
        <v>213</v>
      </c>
      <c r="C51" s="6" t="s">
        <v>214</v>
      </c>
      <c r="D51" s="45" t="s">
        <v>94</v>
      </c>
      <c r="E51" s="17" t="s">
        <v>215</v>
      </c>
      <c r="F51" s="3" t="s">
        <v>208</v>
      </c>
      <c r="G51" s="6" t="s">
        <v>190</v>
      </c>
      <c r="H51" s="7" t="s">
        <v>462</v>
      </c>
      <c r="I51" s="20">
        <v>0.7</v>
      </c>
      <c r="J51" s="62">
        <f>4950000/5</f>
        <v>990000</v>
      </c>
      <c r="K51" s="62">
        <f>4752000+990000</f>
        <v>5742000</v>
      </c>
      <c r="L51" s="50">
        <f t="shared" si="0"/>
        <v>4712400</v>
      </c>
      <c r="M51" s="164"/>
    </row>
    <row r="52" spans="1:13" ht="21" customHeight="1">
      <c r="A52" s="21">
        <v>43</v>
      </c>
      <c r="B52" s="38" t="s">
        <v>411</v>
      </c>
      <c r="C52" s="29" t="s">
        <v>219</v>
      </c>
      <c r="D52" s="47" t="s">
        <v>220</v>
      </c>
      <c r="E52" s="16" t="s">
        <v>221</v>
      </c>
      <c r="F52" s="8" t="s">
        <v>208</v>
      </c>
      <c r="G52" s="29" t="s">
        <v>11</v>
      </c>
      <c r="H52" s="186" t="s">
        <v>462</v>
      </c>
      <c r="I52" s="19">
        <v>0.7</v>
      </c>
      <c r="J52" s="129">
        <f>3330000/5</f>
        <v>666000</v>
      </c>
      <c r="K52" s="187">
        <f>4158000+1188000+660000</f>
        <v>6006000</v>
      </c>
      <c r="L52" s="130">
        <f t="shared" si="0"/>
        <v>4670400</v>
      </c>
      <c r="M52" s="163" t="s">
        <v>438</v>
      </c>
    </row>
    <row r="53" spans="1:13" ht="21" customHeight="1">
      <c r="A53" s="22">
        <v>44</v>
      </c>
      <c r="B53" s="3" t="s">
        <v>222</v>
      </c>
      <c r="C53" s="6" t="s">
        <v>223</v>
      </c>
      <c r="D53" s="45" t="s">
        <v>200</v>
      </c>
      <c r="E53" s="17" t="s">
        <v>224</v>
      </c>
      <c r="F53" s="3" t="s">
        <v>208</v>
      </c>
      <c r="G53" s="6" t="s">
        <v>41</v>
      </c>
      <c r="H53" s="7" t="s">
        <v>462</v>
      </c>
      <c r="I53" s="20">
        <v>0.7</v>
      </c>
      <c r="J53" s="62">
        <f>4950000/5</f>
        <v>990000</v>
      </c>
      <c r="K53" s="62">
        <f>4752000+594000+990000</f>
        <v>6336000</v>
      </c>
      <c r="L53" s="50">
        <f t="shared" si="0"/>
        <v>5128200</v>
      </c>
      <c r="M53" s="163"/>
    </row>
    <row r="54" spans="1:13" ht="21" customHeight="1">
      <c r="A54" s="22">
        <v>45</v>
      </c>
      <c r="B54" s="3" t="s">
        <v>295</v>
      </c>
      <c r="C54" s="6" t="s">
        <v>206</v>
      </c>
      <c r="D54" s="45" t="s">
        <v>160</v>
      </c>
      <c r="E54" s="17" t="s">
        <v>207</v>
      </c>
      <c r="F54" s="3" t="s">
        <v>208</v>
      </c>
      <c r="G54" s="6" t="s">
        <v>11</v>
      </c>
      <c r="H54" s="7" t="s">
        <v>462</v>
      </c>
      <c r="I54" s="20">
        <v>0.7</v>
      </c>
      <c r="J54" s="62">
        <f>4950000/5</f>
        <v>990000</v>
      </c>
      <c r="K54" s="62">
        <f>4752000+990000</f>
        <v>5742000</v>
      </c>
      <c r="L54" s="50">
        <f t="shared" si="0"/>
        <v>4712400</v>
      </c>
      <c r="M54" s="163"/>
    </row>
    <row r="55" spans="1:13" ht="21" customHeight="1">
      <c r="A55" s="22">
        <v>46</v>
      </c>
      <c r="B55" s="3" t="s">
        <v>225</v>
      </c>
      <c r="C55" s="6" t="s">
        <v>47</v>
      </c>
      <c r="D55" s="45" t="s">
        <v>156</v>
      </c>
      <c r="E55" s="17" t="s">
        <v>226</v>
      </c>
      <c r="F55" s="3" t="s">
        <v>227</v>
      </c>
      <c r="G55" s="146" t="s">
        <v>190</v>
      </c>
      <c r="H55" s="7" t="s">
        <v>462</v>
      </c>
      <c r="I55" s="20">
        <v>0.7</v>
      </c>
      <c r="J55" s="62">
        <f>4950000/5</f>
        <v>990000</v>
      </c>
      <c r="K55" s="62">
        <f>4752000+990000</f>
        <v>5742000</v>
      </c>
      <c r="L55" s="50">
        <f t="shared" si="0"/>
        <v>4712400</v>
      </c>
      <c r="M55" s="163"/>
    </row>
    <row r="56" spans="1:13" ht="21" customHeight="1">
      <c r="A56" s="22">
        <v>47</v>
      </c>
      <c r="B56" s="3" t="s">
        <v>243</v>
      </c>
      <c r="C56" s="6" t="s">
        <v>244</v>
      </c>
      <c r="D56" s="45" t="s">
        <v>245</v>
      </c>
      <c r="E56" s="17" t="s">
        <v>246</v>
      </c>
      <c r="F56" s="3" t="s">
        <v>232</v>
      </c>
      <c r="G56" s="6" t="s">
        <v>11</v>
      </c>
      <c r="H56" s="7" t="s">
        <v>462</v>
      </c>
      <c r="I56" s="20">
        <v>0.7</v>
      </c>
      <c r="J56" s="62">
        <f t="shared" ref="J56:J70" si="5">3780000/5</f>
        <v>756000</v>
      </c>
      <c r="K56" s="62">
        <f>3465000+756000</f>
        <v>4221000</v>
      </c>
      <c r="L56" s="50">
        <f t="shared" si="0"/>
        <v>3483900</v>
      </c>
      <c r="M56" s="163"/>
    </row>
    <row r="57" spans="1:13" ht="21" customHeight="1">
      <c r="A57" s="22">
        <v>48</v>
      </c>
      <c r="B57" s="3" t="s">
        <v>240</v>
      </c>
      <c r="C57" s="6" t="s">
        <v>241</v>
      </c>
      <c r="D57" s="45" t="s">
        <v>9</v>
      </c>
      <c r="E57" s="17" t="s">
        <v>242</v>
      </c>
      <c r="F57" s="3" t="s">
        <v>232</v>
      </c>
      <c r="G57" s="6" t="s">
        <v>11</v>
      </c>
      <c r="H57" s="7" t="s">
        <v>462</v>
      </c>
      <c r="I57" s="20">
        <v>0.7</v>
      </c>
      <c r="J57" s="62">
        <f t="shared" si="5"/>
        <v>756000</v>
      </c>
      <c r="K57" s="62">
        <f>2871000+756000</f>
        <v>3627000</v>
      </c>
      <c r="L57" s="50">
        <f t="shared" si="0"/>
        <v>3068100</v>
      </c>
      <c r="M57" s="163"/>
    </row>
    <row r="58" spans="1:13" ht="21" customHeight="1">
      <c r="A58" s="22">
        <v>49</v>
      </c>
      <c r="B58" s="3" t="s">
        <v>233</v>
      </c>
      <c r="C58" s="24" t="s">
        <v>14</v>
      </c>
      <c r="D58" s="46" t="s">
        <v>234</v>
      </c>
      <c r="E58" s="26" t="s">
        <v>235</v>
      </c>
      <c r="F58" s="23" t="s">
        <v>232</v>
      </c>
      <c r="G58" s="24" t="s">
        <v>11</v>
      </c>
      <c r="H58" s="7" t="s">
        <v>462</v>
      </c>
      <c r="I58" s="20">
        <v>0.7</v>
      </c>
      <c r="J58" s="62">
        <f t="shared" si="5"/>
        <v>756000</v>
      </c>
      <c r="K58" s="62">
        <f>3465000+756000</f>
        <v>4221000</v>
      </c>
      <c r="L58" s="50">
        <f t="shared" si="0"/>
        <v>3483900</v>
      </c>
      <c r="M58" s="163"/>
    </row>
    <row r="59" spans="1:13" ht="21" customHeight="1">
      <c r="A59" s="22">
        <v>50</v>
      </c>
      <c r="B59" s="3" t="s">
        <v>228</v>
      </c>
      <c r="C59" s="24" t="s">
        <v>229</v>
      </c>
      <c r="D59" s="46" t="s">
        <v>230</v>
      </c>
      <c r="E59" s="26" t="s">
        <v>231</v>
      </c>
      <c r="F59" s="23" t="s">
        <v>232</v>
      </c>
      <c r="G59" s="24" t="s">
        <v>12</v>
      </c>
      <c r="H59" s="7" t="s">
        <v>462</v>
      </c>
      <c r="I59" s="32">
        <v>0.7</v>
      </c>
      <c r="J59" s="62">
        <f t="shared" si="5"/>
        <v>756000</v>
      </c>
      <c r="K59" s="62">
        <f>3465000+756000</f>
        <v>4221000</v>
      </c>
      <c r="L59" s="50">
        <f t="shared" si="0"/>
        <v>3483900</v>
      </c>
      <c r="M59" s="163"/>
    </row>
    <row r="60" spans="1:13" ht="21" customHeight="1">
      <c r="A60" s="22">
        <v>51</v>
      </c>
      <c r="B60" s="3" t="s">
        <v>256</v>
      </c>
      <c r="C60" s="24" t="s">
        <v>257</v>
      </c>
      <c r="D60" s="46" t="s">
        <v>258</v>
      </c>
      <c r="E60" s="26" t="s">
        <v>259</v>
      </c>
      <c r="F60" s="23" t="s">
        <v>251</v>
      </c>
      <c r="G60" s="24" t="s">
        <v>41</v>
      </c>
      <c r="H60" s="7" t="s">
        <v>462</v>
      </c>
      <c r="I60" s="32">
        <v>0.7</v>
      </c>
      <c r="J60" s="62">
        <f t="shared" si="5"/>
        <v>756000</v>
      </c>
      <c r="K60" s="62">
        <f>3465000+756000</f>
        <v>4221000</v>
      </c>
      <c r="L60" s="50">
        <f t="shared" si="0"/>
        <v>3483900</v>
      </c>
      <c r="M60" s="163"/>
    </row>
    <row r="61" spans="1:13" ht="21" customHeight="1">
      <c r="A61" s="22">
        <v>52</v>
      </c>
      <c r="B61" s="3" t="s">
        <v>252</v>
      </c>
      <c r="C61" s="24" t="s">
        <v>253</v>
      </c>
      <c r="D61" s="46" t="s">
        <v>254</v>
      </c>
      <c r="E61" s="26" t="s">
        <v>255</v>
      </c>
      <c r="F61" s="23" t="s">
        <v>251</v>
      </c>
      <c r="G61" s="24" t="s">
        <v>11</v>
      </c>
      <c r="H61" s="7" t="s">
        <v>462</v>
      </c>
      <c r="I61" s="32">
        <v>0.7</v>
      </c>
      <c r="J61" s="62">
        <f t="shared" si="5"/>
        <v>756000</v>
      </c>
      <c r="K61" s="62">
        <f>2871000+756000</f>
        <v>3627000</v>
      </c>
      <c r="L61" s="50">
        <f t="shared" si="0"/>
        <v>3068100</v>
      </c>
      <c r="M61" s="163"/>
    </row>
    <row r="62" spans="1:13" ht="21" customHeight="1">
      <c r="A62" s="22">
        <v>53</v>
      </c>
      <c r="B62" s="3" t="s">
        <v>260</v>
      </c>
      <c r="C62" s="6" t="s">
        <v>261</v>
      </c>
      <c r="D62" s="45" t="s">
        <v>262</v>
      </c>
      <c r="E62" s="17" t="s">
        <v>263</v>
      </c>
      <c r="F62" s="3" t="s">
        <v>251</v>
      </c>
      <c r="G62" s="6" t="s">
        <v>50</v>
      </c>
      <c r="H62" s="7" t="s">
        <v>462</v>
      </c>
      <c r="I62" s="20">
        <v>0.7</v>
      </c>
      <c r="J62" s="62">
        <f t="shared" si="5"/>
        <v>756000</v>
      </c>
      <c r="K62" s="62">
        <f>2871000+756000</f>
        <v>3627000</v>
      </c>
      <c r="L62" s="50">
        <f t="shared" si="0"/>
        <v>3068100</v>
      </c>
      <c r="M62" s="163"/>
    </row>
    <row r="63" spans="1:13" ht="21" customHeight="1">
      <c r="A63" s="22">
        <v>54</v>
      </c>
      <c r="B63" s="3" t="s">
        <v>247</v>
      </c>
      <c r="C63" s="24" t="s">
        <v>248</v>
      </c>
      <c r="D63" s="46" t="s">
        <v>249</v>
      </c>
      <c r="E63" s="26" t="s">
        <v>250</v>
      </c>
      <c r="F63" s="23" t="s">
        <v>251</v>
      </c>
      <c r="G63" s="24" t="s">
        <v>11</v>
      </c>
      <c r="H63" s="7" t="s">
        <v>462</v>
      </c>
      <c r="I63" s="32">
        <v>0.7</v>
      </c>
      <c r="J63" s="62">
        <f t="shared" si="5"/>
        <v>756000</v>
      </c>
      <c r="K63" s="62">
        <f>3465000+756000</f>
        <v>4221000</v>
      </c>
      <c r="L63" s="50">
        <f t="shared" si="0"/>
        <v>3483900</v>
      </c>
      <c r="M63" s="163"/>
    </row>
    <row r="64" spans="1:13" ht="21" customHeight="1">
      <c r="A64" s="22">
        <v>55</v>
      </c>
      <c r="B64" s="3" t="s">
        <v>264</v>
      </c>
      <c r="C64" s="24" t="s">
        <v>265</v>
      </c>
      <c r="D64" s="46" t="s">
        <v>266</v>
      </c>
      <c r="E64" s="26" t="s">
        <v>215</v>
      </c>
      <c r="F64" s="23" t="s">
        <v>267</v>
      </c>
      <c r="G64" s="24" t="s">
        <v>41</v>
      </c>
      <c r="H64" s="7" t="s">
        <v>462</v>
      </c>
      <c r="I64" s="32">
        <v>0.7</v>
      </c>
      <c r="J64" s="62">
        <f t="shared" si="5"/>
        <v>756000</v>
      </c>
      <c r="K64" s="62">
        <f>3465000+756000</f>
        <v>4221000</v>
      </c>
      <c r="L64" s="50">
        <f t="shared" si="0"/>
        <v>3483900</v>
      </c>
      <c r="M64" s="163"/>
    </row>
    <row r="65" spans="1:13" ht="21" customHeight="1">
      <c r="A65" s="22">
        <v>56</v>
      </c>
      <c r="B65" s="3" t="s">
        <v>280</v>
      </c>
      <c r="C65" s="24" t="s">
        <v>281</v>
      </c>
      <c r="D65" s="46" t="s">
        <v>10</v>
      </c>
      <c r="E65" s="26" t="s">
        <v>282</v>
      </c>
      <c r="F65" s="23" t="s">
        <v>267</v>
      </c>
      <c r="G65" s="24" t="s">
        <v>11</v>
      </c>
      <c r="H65" s="7" t="s">
        <v>462</v>
      </c>
      <c r="I65" s="32">
        <v>0.7</v>
      </c>
      <c r="J65" s="62">
        <f t="shared" si="5"/>
        <v>756000</v>
      </c>
      <c r="K65" s="62">
        <f>2871000+756000</f>
        <v>3627000</v>
      </c>
      <c r="L65" s="50">
        <f t="shared" si="0"/>
        <v>3068100</v>
      </c>
      <c r="M65" s="163"/>
    </row>
    <row r="66" spans="1:13" ht="21" customHeight="1">
      <c r="A66" s="22">
        <v>57</v>
      </c>
      <c r="B66" s="3" t="s">
        <v>283</v>
      </c>
      <c r="C66" s="24" t="s">
        <v>284</v>
      </c>
      <c r="D66" s="46" t="s">
        <v>285</v>
      </c>
      <c r="E66" s="26" t="s">
        <v>286</v>
      </c>
      <c r="F66" s="23" t="s">
        <v>267</v>
      </c>
      <c r="G66" s="24" t="s">
        <v>41</v>
      </c>
      <c r="H66" s="7" t="s">
        <v>464</v>
      </c>
      <c r="I66" s="32">
        <v>0.7</v>
      </c>
      <c r="J66" s="62">
        <f t="shared" si="5"/>
        <v>756000</v>
      </c>
      <c r="K66" s="62">
        <f>2871000+756000</f>
        <v>3627000</v>
      </c>
      <c r="L66" s="50">
        <f t="shared" si="0"/>
        <v>3068100</v>
      </c>
      <c r="M66" s="163"/>
    </row>
    <row r="67" spans="1:13" ht="21" customHeight="1">
      <c r="A67" s="22">
        <v>58</v>
      </c>
      <c r="B67" s="3" t="s">
        <v>276</v>
      </c>
      <c r="C67" s="24" t="s">
        <v>277</v>
      </c>
      <c r="D67" s="46" t="s">
        <v>278</v>
      </c>
      <c r="E67" s="26" t="s">
        <v>279</v>
      </c>
      <c r="F67" s="23" t="s">
        <v>267</v>
      </c>
      <c r="G67" s="24" t="s">
        <v>11</v>
      </c>
      <c r="H67" s="7" t="s">
        <v>462</v>
      </c>
      <c r="I67" s="32">
        <v>0.7</v>
      </c>
      <c r="J67" s="62">
        <f t="shared" si="5"/>
        <v>756000</v>
      </c>
      <c r="K67" s="62">
        <f>3465000+756000</f>
        <v>4221000</v>
      </c>
      <c r="L67" s="50">
        <f t="shared" si="0"/>
        <v>3483900</v>
      </c>
      <c r="M67" s="163"/>
    </row>
    <row r="68" spans="1:13" ht="21" customHeight="1">
      <c r="A68" s="22">
        <v>59</v>
      </c>
      <c r="B68" s="3" t="s">
        <v>287</v>
      </c>
      <c r="C68" s="24" t="s">
        <v>288</v>
      </c>
      <c r="D68" s="46" t="s">
        <v>10</v>
      </c>
      <c r="E68" s="26" t="s">
        <v>289</v>
      </c>
      <c r="F68" s="23" t="s">
        <v>290</v>
      </c>
      <c r="G68" s="24" t="s">
        <v>41</v>
      </c>
      <c r="H68" s="7" t="s">
        <v>462</v>
      </c>
      <c r="I68" s="32">
        <v>0.7</v>
      </c>
      <c r="J68" s="62">
        <f t="shared" si="5"/>
        <v>756000</v>
      </c>
      <c r="K68" s="62">
        <f>2871000+756000</f>
        <v>3627000</v>
      </c>
      <c r="L68" s="50">
        <f t="shared" si="0"/>
        <v>3068100</v>
      </c>
      <c r="M68" s="163"/>
    </row>
    <row r="69" spans="1:13" ht="21" customHeight="1">
      <c r="A69" s="22">
        <v>60</v>
      </c>
      <c r="B69" s="3" t="s">
        <v>272</v>
      </c>
      <c r="C69" s="24" t="s">
        <v>273</v>
      </c>
      <c r="D69" s="46" t="s">
        <v>274</v>
      </c>
      <c r="E69" s="26" t="s">
        <v>275</v>
      </c>
      <c r="F69" s="23" t="s">
        <v>271</v>
      </c>
      <c r="G69" s="24" t="s">
        <v>12</v>
      </c>
      <c r="H69" s="7" t="s">
        <v>462</v>
      </c>
      <c r="I69" s="32">
        <v>0.7</v>
      </c>
      <c r="J69" s="62">
        <f t="shared" si="5"/>
        <v>756000</v>
      </c>
      <c r="K69" s="62">
        <f>3465000+756000</f>
        <v>4221000</v>
      </c>
      <c r="L69" s="50">
        <f t="shared" si="0"/>
        <v>3483900</v>
      </c>
      <c r="M69" s="163"/>
    </row>
    <row r="70" spans="1:13" ht="21" customHeight="1">
      <c r="A70" s="22">
        <v>61</v>
      </c>
      <c r="B70" s="3" t="s">
        <v>268</v>
      </c>
      <c r="C70" s="24" t="s">
        <v>77</v>
      </c>
      <c r="D70" s="46" t="s">
        <v>269</v>
      </c>
      <c r="E70" s="26" t="s">
        <v>270</v>
      </c>
      <c r="F70" s="23" t="s">
        <v>271</v>
      </c>
      <c r="G70" s="24" t="s">
        <v>41</v>
      </c>
      <c r="H70" s="7" t="s">
        <v>462</v>
      </c>
      <c r="I70" s="32">
        <v>0.7</v>
      </c>
      <c r="J70" s="62">
        <f t="shared" si="5"/>
        <v>756000</v>
      </c>
      <c r="K70" s="62">
        <f>3465000+756000</f>
        <v>4221000</v>
      </c>
      <c r="L70" s="50">
        <f t="shared" si="0"/>
        <v>3483900</v>
      </c>
      <c r="M70" s="164"/>
    </row>
    <row r="71" spans="1:13" ht="21" customHeight="1">
      <c r="A71" s="22">
        <v>62</v>
      </c>
      <c r="B71" s="3" t="s">
        <v>56</v>
      </c>
      <c r="C71" s="6" t="s">
        <v>57</v>
      </c>
      <c r="D71" s="45" t="s">
        <v>58</v>
      </c>
      <c r="E71" s="43" t="s">
        <v>59</v>
      </c>
      <c r="F71" s="36" t="s">
        <v>54</v>
      </c>
      <c r="G71" s="147" t="s">
        <v>12</v>
      </c>
      <c r="H71" s="7" t="s">
        <v>462</v>
      </c>
      <c r="I71" s="44">
        <v>0.7</v>
      </c>
      <c r="J71" s="65">
        <v>0</v>
      </c>
      <c r="K71" s="62">
        <f>3682800+790243.2</f>
        <v>4473043.2</v>
      </c>
      <c r="L71" s="50">
        <f t="shared" si="0"/>
        <v>3131130.2399999998</v>
      </c>
      <c r="M71" s="173" t="s">
        <v>439</v>
      </c>
    </row>
    <row r="72" spans="1:13" ht="21" customHeight="1">
      <c r="A72" s="22">
        <v>63</v>
      </c>
      <c r="B72" s="3" t="s">
        <v>101</v>
      </c>
      <c r="C72" s="6" t="s">
        <v>102</v>
      </c>
      <c r="D72" s="45" t="s">
        <v>103</v>
      </c>
      <c r="E72" s="17" t="s">
        <v>104</v>
      </c>
      <c r="F72" s="3" t="s">
        <v>100</v>
      </c>
      <c r="G72" s="6" t="s">
        <v>11</v>
      </c>
      <c r="H72" s="7" t="s">
        <v>462</v>
      </c>
      <c r="I72" s="20">
        <v>0.7</v>
      </c>
      <c r="J72" s="65">
        <v>0</v>
      </c>
      <c r="K72" s="62">
        <f>4890600+727200</f>
        <v>5617800</v>
      </c>
      <c r="L72" s="50">
        <f t="shared" si="0"/>
        <v>3932459.9999999995</v>
      </c>
      <c r="M72" s="163"/>
    </row>
    <row r="73" spans="1:13" ht="21" customHeight="1">
      <c r="A73" s="21">
        <v>64</v>
      </c>
      <c r="B73" s="8" t="s">
        <v>113</v>
      </c>
      <c r="C73" s="29" t="s">
        <v>114</v>
      </c>
      <c r="D73" s="47" t="s">
        <v>115</v>
      </c>
      <c r="E73" s="16" t="s">
        <v>116</v>
      </c>
      <c r="F73" s="8" t="s">
        <v>108</v>
      </c>
      <c r="G73" s="29" t="s">
        <v>41</v>
      </c>
      <c r="H73" s="7" t="s">
        <v>462</v>
      </c>
      <c r="I73" s="19">
        <v>0.7</v>
      </c>
      <c r="J73" s="141">
        <v>0</v>
      </c>
      <c r="K73" s="129">
        <f>4494600+763200</f>
        <v>5257800</v>
      </c>
      <c r="L73" s="130">
        <f t="shared" si="0"/>
        <v>3680459.9999999995</v>
      </c>
      <c r="M73" s="163"/>
    </row>
    <row r="74" spans="1:13" ht="21" customHeight="1">
      <c r="A74" s="22">
        <v>65</v>
      </c>
      <c r="B74" s="3" t="s">
        <v>105</v>
      </c>
      <c r="C74" s="6" t="s">
        <v>106</v>
      </c>
      <c r="D74" s="45" t="s">
        <v>94</v>
      </c>
      <c r="E74" s="17" t="s">
        <v>107</v>
      </c>
      <c r="F74" s="3" t="s">
        <v>108</v>
      </c>
      <c r="G74" s="6" t="s">
        <v>11</v>
      </c>
      <c r="H74" s="7" t="s">
        <v>462</v>
      </c>
      <c r="I74" s="20">
        <v>0.7</v>
      </c>
      <c r="J74" s="65">
        <v>0</v>
      </c>
      <c r="K74" s="62">
        <f>4890600+727200</f>
        <v>5617800</v>
      </c>
      <c r="L74" s="50">
        <f t="shared" si="0"/>
        <v>3932459.9999999995</v>
      </c>
      <c r="M74" s="163"/>
    </row>
    <row r="75" spans="1:13" ht="21" customHeight="1">
      <c r="A75" s="22">
        <v>66</v>
      </c>
      <c r="B75" s="3" t="s">
        <v>124</v>
      </c>
      <c r="C75" s="6" t="s">
        <v>125</v>
      </c>
      <c r="D75" s="45" t="s">
        <v>94</v>
      </c>
      <c r="E75" s="17" t="s">
        <v>126</v>
      </c>
      <c r="F75" s="3" t="s">
        <v>119</v>
      </c>
      <c r="G75" s="6" t="s">
        <v>11</v>
      </c>
      <c r="H75" s="7" t="s">
        <v>462</v>
      </c>
      <c r="I75" s="20">
        <v>0.7</v>
      </c>
      <c r="J75" s="65">
        <v>0</v>
      </c>
      <c r="K75" s="62">
        <f>3762000+1080000</f>
        <v>4842000</v>
      </c>
      <c r="L75" s="50">
        <f t="shared" si="0"/>
        <v>3389400</v>
      </c>
      <c r="M75" s="164"/>
    </row>
    <row r="76" spans="1:13" ht="21" customHeight="1">
      <c r="A76" s="22">
        <v>67</v>
      </c>
      <c r="B76" s="3" t="s">
        <v>130</v>
      </c>
      <c r="C76" s="6" t="s">
        <v>127</v>
      </c>
      <c r="D76" s="45" t="s">
        <v>128</v>
      </c>
      <c r="E76" s="17" t="s">
        <v>129</v>
      </c>
      <c r="F76" s="3" t="s">
        <v>119</v>
      </c>
      <c r="G76" s="6" t="s">
        <v>11</v>
      </c>
      <c r="H76" s="7" t="s">
        <v>462</v>
      </c>
      <c r="I76" s="20">
        <v>0.7</v>
      </c>
      <c r="J76" s="65">
        <v>0</v>
      </c>
      <c r="K76" s="62">
        <f>3762000+1080000</f>
        <v>4842000</v>
      </c>
      <c r="L76" s="50">
        <f t="shared" ref="L76:L81" si="6">(J76+K76)*0.7</f>
        <v>3389400</v>
      </c>
      <c r="M76" s="173" t="s">
        <v>439</v>
      </c>
    </row>
    <row r="77" spans="1:13" ht="21" customHeight="1">
      <c r="A77" s="22">
        <v>68</v>
      </c>
      <c r="B77" s="3" t="s">
        <v>155</v>
      </c>
      <c r="C77" s="6" t="s">
        <v>77</v>
      </c>
      <c r="D77" s="45" t="s">
        <v>156</v>
      </c>
      <c r="E77" s="17" t="s">
        <v>157</v>
      </c>
      <c r="F77" s="3" t="s">
        <v>139</v>
      </c>
      <c r="G77" s="6" t="s">
        <v>11</v>
      </c>
      <c r="H77" s="7" t="s">
        <v>462</v>
      </c>
      <c r="I77" s="20">
        <v>0.7</v>
      </c>
      <c r="J77" s="65">
        <v>0</v>
      </c>
      <c r="K77" s="62">
        <f>3762000+1080000</f>
        <v>4842000</v>
      </c>
      <c r="L77" s="50">
        <f t="shared" si="6"/>
        <v>3389400</v>
      </c>
      <c r="M77" s="163"/>
    </row>
    <row r="78" spans="1:13" ht="21" customHeight="1">
      <c r="A78" s="22">
        <v>69</v>
      </c>
      <c r="B78" s="3" t="s">
        <v>158</v>
      </c>
      <c r="C78" s="6" t="s">
        <v>159</v>
      </c>
      <c r="D78" s="45" t="s">
        <v>160</v>
      </c>
      <c r="E78" s="17" t="s">
        <v>161</v>
      </c>
      <c r="F78" s="3" t="s">
        <v>162</v>
      </c>
      <c r="G78" s="6" t="s">
        <v>11</v>
      </c>
      <c r="H78" s="7" t="s">
        <v>462</v>
      </c>
      <c r="I78" s="20">
        <v>0.7</v>
      </c>
      <c r="J78" s="65">
        <v>0</v>
      </c>
      <c r="K78" s="62">
        <f>3762000+1080000</f>
        <v>4842000</v>
      </c>
      <c r="L78" s="50">
        <f t="shared" si="6"/>
        <v>3389400</v>
      </c>
      <c r="M78" s="163"/>
    </row>
    <row r="79" spans="1:13" ht="21" customHeight="1">
      <c r="A79" s="22">
        <v>70</v>
      </c>
      <c r="B79" s="3" t="s">
        <v>302</v>
      </c>
      <c r="C79" s="6" t="s">
        <v>70</v>
      </c>
      <c r="D79" s="45" t="s">
        <v>230</v>
      </c>
      <c r="E79" s="17" t="s">
        <v>303</v>
      </c>
      <c r="F79" s="3" t="s">
        <v>205</v>
      </c>
      <c r="G79" s="6" t="s">
        <v>11</v>
      </c>
      <c r="H79" s="7" t="s">
        <v>462</v>
      </c>
      <c r="I79" s="20">
        <v>0.7</v>
      </c>
      <c r="J79" s="65">
        <v>0</v>
      </c>
      <c r="K79" s="62">
        <f>4158000+594000+882000</f>
        <v>5634000</v>
      </c>
      <c r="L79" s="50">
        <f t="shared" si="6"/>
        <v>3943799.9999999995</v>
      </c>
      <c r="M79" s="163"/>
    </row>
    <row r="80" spans="1:13" ht="21" customHeight="1">
      <c r="A80" s="22">
        <v>71</v>
      </c>
      <c r="B80" s="3" t="s">
        <v>236</v>
      </c>
      <c r="C80" s="24" t="s">
        <v>237</v>
      </c>
      <c r="D80" s="46" t="s">
        <v>238</v>
      </c>
      <c r="E80" s="26" t="s">
        <v>239</v>
      </c>
      <c r="F80" s="23" t="s">
        <v>232</v>
      </c>
      <c r="G80" s="24" t="s">
        <v>11</v>
      </c>
      <c r="H80" s="149" t="s">
        <v>462</v>
      </c>
      <c r="I80" s="20">
        <v>0.7</v>
      </c>
      <c r="J80" s="65">
        <v>0</v>
      </c>
      <c r="K80" s="62">
        <f>3465000+756000</f>
        <v>4221000</v>
      </c>
      <c r="L80" s="50">
        <f t="shared" si="6"/>
        <v>2954700</v>
      </c>
      <c r="M80" s="163"/>
    </row>
    <row r="81" spans="1:13" ht="21" customHeight="1">
      <c r="A81" s="22">
        <v>72</v>
      </c>
      <c r="B81" s="37" t="s">
        <v>291</v>
      </c>
      <c r="C81" s="24" t="s">
        <v>292</v>
      </c>
      <c r="D81" s="46" t="s">
        <v>293</v>
      </c>
      <c r="E81" s="26" t="s">
        <v>294</v>
      </c>
      <c r="F81" s="23" t="s">
        <v>271</v>
      </c>
      <c r="G81" s="24" t="s">
        <v>11</v>
      </c>
      <c r="H81" s="150" t="s">
        <v>462</v>
      </c>
      <c r="I81" s="32">
        <v>0.7</v>
      </c>
      <c r="J81" s="65">
        <v>0</v>
      </c>
      <c r="K81" s="66">
        <f>2871000+756000</f>
        <v>3627000</v>
      </c>
      <c r="L81" s="50">
        <f t="shared" si="6"/>
        <v>2538900</v>
      </c>
      <c r="M81" s="174"/>
    </row>
    <row r="82" spans="1:13" s="2" customFormat="1" ht="21" customHeight="1">
      <c r="A82" s="170" t="s">
        <v>428</v>
      </c>
      <c r="B82" s="171"/>
      <c r="C82" s="171"/>
      <c r="D82" s="171"/>
      <c r="E82" s="171"/>
      <c r="F82" s="171"/>
      <c r="G82" s="171"/>
      <c r="H82" s="172"/>
      <c r="I82" s="59"/>
      <c r="J82" s="67">
        <f>SUM(J10:J81)</f>
        <v>53366745.600000001</v>
      </c>
      <c r="K82" s="67">
        <f>SUM(K10:K81)</f>
        <v>348183264</v>
      </c>
      <c r="L82" s="67">
        <f>SUM(L10:L81)</f>
        <v>281085006.72000003</v>
      </c>
      <c r="M82" s="117"/>
    </row>
    <row r="83" spans="1:13" ht="19.5" customHeight="1">
      <c r="A83" s="39"/>
      <c r="B83" s="38"/>
      <c r="C83" s="38"/>
      <c r="D83" s="40"/>
      <c r="E83" s="41"/>
      <c r="F83" s="38"/>
      <c r="G83" s="38"/>
      <c r="H83" s="38"/>
      <c r="I83" s="38"/>
      <c r="J83" s="115"/>
      <c r="K83" s="116"/>
      <c r="L83" s="116"/>
    </row>
    <row r="84" spans="1:13" ht="16.5" customHeight="1">
      <c r="A84" s="39"/>
      <c r="B84" s="104" t="s">
        <v>446</v>
      </c>
      <c r="C84" s="102"/>
      <c r="D84" s="118"/>
      <c r="E84" s="103"/>
      <c r="F84" s="102"/>
      <c r="G84" s="102"/>
      <c r="H84" s="102"/>
      <c r="I84" s="102"/>
      <c r="J84" s="119"/>
      <c r="K84" s="120"/>
      <c r="L84" s="120"/>
      <c r="M84" s="107"/>
    </row>
    <row r="85" spans="1:13" ht="16.5" customHeight="1">
      <c r="A85" s="39"/>
      <c r="B85" s="104"/>
      <c r="C85" s="102"/>
      <c r="D85" s="118"/>
      <c r="E85" s="103"/>
      <c r="F85" s="102"/>
      <c r="G85" s="102"/>
      <c r="H85" s="102"/>
      <c r="I85" s="102"/>
      <c r="J85" s="119"/>
      <c r="K85" s="120"/>
      <c r="L85" s="120"/>
      <c r="M85" s="107"/>
    </row>
    <row r="86" spans="1:13" ht="18" customHeight="1">
      <c r="A86" s="157" t="s">
        <v>433</v>
      </c>
      <c r="B86" s="157"/>
      <c r="C86" s="157"/>
      <c r="D86" s="167" t="s">
        <v>429</v>
      </c>
      <c r="E86" s="167"/>
      <c r="F86" s="167"/>
      <c r="G86" s="167"/>
      <c r="H86" s="167"/>
      <c r="I86" s="167"/>
      <c r="J86" s="167"/>
      <c r="K86" s="168" t="s">
        <v>431</v>
      </c>
      <c r="L86" s="168"/>
      <c r="M86" s="168"/>
    </row>
    <row r="87" spans="1:13" ht="18" customHeight="1">
      <c r="A87" s="2"/>
      <c r="B87" s="2"/>
      <c r="C87" s="2"/>
      <c r="D87" s="167" t="s">
        <v>430</v>
      </c>
      <c r="E87" s="167"/>
      <c r="F87" s="167"/>
      <c r="G87" s="167"/>
      <c r="H87" s="167"/>
      <c r="I87" s="167"/>
      <c r="J87" s="167"/>
      <c r="K87" s="168" t="s">
        <v>432</v>
      </c>
      <c r="L87" s="168"/>
      <c r="M87" s="168"/>
    </row>
    <row r="88" spans="1:13" ht="18" customHeight="1">
      <c r="A88" s="2"/>
      <c r="B88" s="2"/>
      <c r="C88" s="2"/>
      <c r="D88" s="2"/>
      <c r="E88" s="88"/>
      <c r="F88" s="2"/>
      <c r="G88" s="2"/>
      <c r="H88" s="2"/>
      <c r="I88" s="2"/>
      <c r="J88" s="89"/>
      <c r="K88" s="89"/>
      <c r="L88" s="89"/>
      <c r="M88" s="89"/>
    </row>
    <row r="89" spans="1:13" ht="21" customHeight="1">
      <c r="A89" s="2"/>
      <c r="B89" s="2"/>
      <c r="C89" s="2"/>
      <c r="D89" s="2"/>
      <c r="E89" s="88"/>
      <c r="F89" s="2"/>
      <c r="G89" s="2"/>
      <c r="H89" s="2"/>
      <c r="I89" s="2"/>
      <c r="J89" s="89"/>
      <c r="K89" s="89"/>
      <c r="L89" s="89"/>
      <c r="M89" s="89"/>
    </row>
    <row r="90" spans="1:13" ht="21" customHeight="1">
      <c r="A90" s="2"/>
      <c r="B90" s="2"/>
      <c r="C90" s="2"/>
      <c r="D90" s="2"/>
      <c r="E90" s="88"/>
      <c r="F90" s="2"/>
      <c r="G90" s="2"/>
      <c r="H90" s="2"/>
      <c r="I90" s="2"/>
      <c r="J90" s="89"/>
      <c r="K90" s="169" t="s">
        <v>466</v>
      </c>
      <c r="L90" s="169"/>
      <c r="M90" s="169"/>
    </row>
    <row r="91" spans="1:13" ht="21" customHeight="1">
      <c r="A91" s="2"/>
      <c r="B91" s="2"/>
      <c r="C91" s="2"/>
      <c r="D91" s="2"/>
      <c r="E91" s="88"/>
      <c r="F91" s="2"/>
      <c r="G91" s="2"/>
      <c r="H91" s="2"/>
      <c r="I91" s="2"/>
      <c r="J91" s="89"/>
      <c r="K91" s="89"/>
      <c r="L91" s="89"/>
      <c r="M91" s="89"/>
    </row>
    <row r="92" spans="1:13" ht="21" customHeight="1">
      <c r="A92" s="2"/>
      <c r="B92" s="2"/>
      <c r="C92" s="2"/>
      <c r="D92" s="2"/>
      <c r="E92" s="88"/>
      <c r="F92" s="2"/>
      <c r="G92" s="2"/>
      <c r="H92" s="2"/>
      <c r="I92" s="2"/>
      <c r="J92" s="89"/>
      <c r="K92" s="89"/>
      <c r="L92" s="89"/>
      <c r="M92" s="89"/>
    </row>
    <row r="93" spans="1:13" ht="21" customHeight="1">
      <c r="A93" s="157" t="s">
        <v>434</v>
      </c>
      <c r="B93" s="157"/>
      <c r="C93" s="157"/>
      <c r="D93" s="167" t="s">
        <v>435</v>
      </c>
      <c r="E93" s="167"/>
      <c r="F93" s="167"/>
      <c r="G93" s="167"/>
      <c r="H93" s="167"/>
      <c r="I93" s="167"/>
      <c r="J93" s="167"/>
      <c r="K93" s="168" t="s">
        <v>436</v>
      </c>
      <c r="L93" s="168"/>
      <c r="M93" s="168"/>
    </row>
    <row r="94" spans="1:13" ht="21" customHeight="1">
      <c r="A94" s="39"/>
      <c r="B94" s="38"/>
      <c r="C94" s="38"/>
      <c r="D94" s="40"/>
      <c r="E94" s="41"/>
      <c r="F94" s="38"/>
      <c r="G94" s="38"/>
      <c r="H94" s="38"/>
      <c r="I94" s="38"/>
      <c r="J94" s="115"/>
      <c r="K94" s="116"/>
      <c r="L94" s="116"/>
    </row>
    <row r="95" spans="1:13" ht="21" customHeight="1">
      <c r="A95" s="39"/>
      <c r="B95" s="38"/>
      <c r="C95" s="38"/>
      <c r="D95" s="40"/>
      <c r="E95" s="41"/>
      <c r="F95" s="38"/>
      <c r="G95" s="38"/>
      <c r="H95" s="38"/>
      <c r="I95" s="38"/>
      <c r="J95" s="115"/>
      <c r="K95" s="116"/>
      <c r="L95" s="116"/>
    </row>
    <row r="96" spans="1:13" ht="21" customHeight="1">
      <c r="A96" s="39"/>
      <c r="B96" s="38"/>
      <c r="C96" s="38"/>
      <c r="D96" s="40"/>
      <c r="E96" s="41"/>
      <c r="F96" s="38"/>
      <c r="G96" s="38"/>
      <c r="H96" s="38"/>
      <c r="I96" s="38"/>
      <c r="J96" s="115"/>
      <c r="K96" s="116"/>
      <c r="L96" s="116"/>
    </row>
  </sheetData>
  <sortState ref="A21:N24">
    <sortCondition ref="F21:F24"/>
  </sortState>
  <mergeCells count="20">
    <mergeCell ref="A82:H82"/>
    <mergeCell ref="M71:M75"/>
    <mergeCell ref="M76:M81"/>
    <mergeCell ref="M10:M27"/>
    <mergeCell ref="M28:M51"/>
    <mergeCell ref="M52:M70"/>
    <mergeCell ref="A93:C93"/>
    <mergeCell ref="D93:J93"/>
    <mergeCell ref="K93:M93"/>
    <mergeCell ref="A86:C86"/>
    <mergeCell ref="D86:J86"/>
    <mergeCell ref="K86:M86"/>
    <mergeCell ref="D87:J87"/>
    <mergeCell ref="K87:M87"/>
    <mergeCell ref="K90:M90"/>
    <mergeCell ref="A4:M4"/>
    <mergeCell ref="A5:M5"/>
    <mergeCell ref="A6:M6"/>
    <mergeCell ref="K7:M7"/>
    <mergeCell ref="G9:H9"/>
  </mergeCells>
  <pageMargins left="0.26" right="0.2" top="0.51" bottom="0.54" header="0.23" footer="0.16"/>
  <pageSetup paperSize="9" scale="95" orientation="landscape" horizontalDpi="0" verticalDpi="0" r:id="rId1"/>
  <headerFooter>
    <oddHeader>&amp;CPage &amp;P&amp;RBSĐK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0"/>
  <sheetViews>
    <sheetView topLeftCell="C13" workbookViewId="0">
      <selection activeCell="J26" sqref="J26"/>
    </sheetView>
  </sheetViews>
  <sheetFormatPr defaultRowHeight="15"/>
  <cols>
    <col min="1" max="1" width="4.28515625" customWidth="1"/>
    <col min="2" max="2" width="19" customWidth="1"/>
    <col min="3" max="3" width="15.85546875" customWidth="1"/>
    <col min="4" max="4" width="7" customWidth="1"/>
    <col min="5" max="5" width="11.7109375" customWidth="1"/>
    <col min="6" max="6" width="9.5703125" customWidth="1"/>
    <col min="7" max="7" width="7.85546875" customWidth="1"/>
    <col min="8" max="8" width="10.7109375" customWidth="1"/>
    <col min="9" max="9" width="8.140625" customWidth="1"/>
    <col min="10" max="10" width="9.85546875" customWidth="1"/>
    <col min="11" max="11" width="15.140625" customWidth="1"/>
    <col min="12" max="12" width="16.7109375" customWidth="1"/>
    <col min="13" max="13" width="6" customWidth="1"/>
    <col min="14" max="14" width="10.140625" style="124" bestFit="1" customWidth="1"/>
    <col min="15" max="15" width="9.140625" style="124"/>
    <col min="16" max="16" width="10.140625" style="124" bestFit="1" customWidth="1"/>
  </cols>
  <sheetData>
    <row r="1" spans="1:16" ht="15.75">
      <c r="A1" s="1" t="s">
        <v>0</v>
      </c>
      <c r="B1" s="1"/>
      <c r="C1" s="1"/>
      <c r="D1" s="1"/>
      <c r="E1" s="14"/>
      <c r="F1" s="1"/>
      <c r="G1" s="1"/>
      <c r="H1" s="1"/>
      <c r="I1" s="1"/>
      <c r="J1" s="1"/>
      <c r="K1" s="1"/>
      <c r="L1" s="1"/>
    </row>
    <row r="2" spans="1:16" ht="15.75">
      <c r="A2" s="2" t="s">
        <v>1</v>
      </c>
      <c r="B2" s="2"/>
      <c r="C2" s="2"/>
      <c r="D2" s="1"/>
      <c r="E2" s="14"/>
      <c r="F2" s="1"/>
      <c r="G2" s="1"/>
      <c r="H2" s="1"/>
      <c r="I2" s="1"/>
      <c r="J2" s="1"/>
      <c r="K2" s="1"/>
      <c r="L2" s="1"/>
    </row>
    <row r="3" spans="1:16" ht="11.25" customHeight="1">
      <c r="A3" s="1"/>
      <c r="B3" s="1"/>
      <c r="C3" s="1"/>
      <c r="D3" s="1"/>
      <c r="E3" s="14"/>
      <c r="F3" s="1"/>
      <c r="G3" s="1"/>
      <c r="H3" s="1"/>
      <c r="I3" s="1"/>
      <c r="J3" s="1"/>
      <c r="K3" s="1"/>
      <c r="L3" s="1"/>
    </row>
    <row r="4" spans="1:16" ht="15.75">
      <c r="A4" s="157" t="s">
        <v>451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</row>
    <row r="5" spans="1:16" ht="15.75">
      <c r="A5" s="157" t="s">
        <v>444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</row>
    <row r="6" spans="1:16" ht="15.75">
      <c r="A6" s="158" t="s">
        <v>467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</row>
    <row r="7" spans="1:16" ht="15.75">
      <c r="A7" s="53"/>
      <c r="B7" s="53"/>
      <c r="C7" s="53"/>
      <c r="D7" s="53"/>
      <c r="E7" s="53"/>
      <c r="F7" s="53"/>
      <c r="G7" s="53"/>
      <c r="H7" s="144"/>
      <c r="I7" s="144"/>
      <c r="J7" s="53"/>
      <c r="K7" s="53"/>
      <c r="L7" s="161" t="s">
        <v>437</v>
      </c>
      <c r="M7" s="161"/>
      <c r="N7" s="127"/>
    </row>
    <row r="8" spans="1:16" ht="8.25" customHeight="1">
      <c r="A8" s="1"/>
      <c r="B8" s="1"/>
      <c r="C8" s="1"/>
      <c r="D8" s="1"/>
      <c r="E8" s="14"/>
      <c r="F8" s="1"/>
      <c r="G8" s="1"/>
      <c r="H8" s="1"/>
      <c r="I8" s="1"/>
      <c r="J8" s="1"/>
      <c r="K8" s="1"/>
      <c r="L8" s="1"/>
    </row>
    <row r="9" spans="1:16" ht="63" customHeight="1">
      <c r="A9" s="9" t="s">
        <v>2</v>
      </c>
      <c r="B9" s="10" t="s">
        <v>3</v>
      </c>
      <c r="C9" s="12" t="s">
        <v>457</v>
      </c>
      <c r="D9" s="11" t="s">
        <v>459</v>
      </c>
      <c r="E9" s="15" t="s">
        <v>4</v>
      </c>
      <c r="F9" s="9" t="s">
        <v>5</v>
      </c>
      <c r="G9" s="165" t="s">
        <v>461</v>
      </c>
      <c r="H9" s="166"/>
      <c r="I9" s="13" t="s">
        <v>6</v>
      </c>
      <c r="J9" s="33" t="s">
        <v>416</v>
      </c>
      <c r="K9" s="13" t="s">
        <v>417</v>
      </c>
      <c r="L9" s="13" t="s">
        <v>455</v>
      </c>
      <c r="M9" s="110" t="s">
        <v>7</v>
      </c>
    </row>
    <row r="10" spans="1:16" s="31" customFormat="1" ht="21.75" customHeight="1">
      <c r="A10" s="21">
        <v>1</v>
      </c>
      <c r="B10" s="1" t="s">
        <v>318</v>
      </c>
      <c r="C10" s="5" t="s">
        <v>296</v>
      </c>
      <c r="D10" s="47" t="s">
        <v>44</v>
      </c>
      <c r="E10" s="16" t="s">
        <v>297</v>
      </c>
      <c r="F10" s="8" t="s">
        <v>298</v>
      </c>
      <c r="G10" s="152" t="s">
        <v>11</v>
      </c>
      <c r="H10" s="153" t="s">
        <v>462</v>
      </c>
      <c r="I10" s="19">
        <v>0.7</v>
      </c>
      <c r="J10" s="68">
        <f>3931776/5</f>
        <v>786355.19999999995</v>
      </c>
      <c r="K10" s="68">
        <f>5066265.6+786355.2</f>
        <v>5852620.7999999998</v>
      </c>
      <c r="L10" s="69">
        <f>(J10+K10)*0.7</f>
        <v>4647283.1999999993</v>
      </c>
      <c r="M10" s="173" t="s">
        <v>438</v>
      </c>
      <c r="N10" s="125"/>
      <c r="O10" s="125"/>
      <c r="P10" s="125"/>
    </row>
    <row r="11" spans="1:16" s="31" customFormat="1" ht="21.75" customHeight="1">
      <c r="A11" s="22">
        <v>2</v>
      </c>
      <c r="B11" s="3" t="s">
        <v>299</v>
      </c>
      <c r="C11" s="6" t="s">
        <v>300</v>
      </c>
      <c r="D11" s="45" t="s">
        <v>44</v>
      </c>
      <c r="E11" s="17" t="s">
        <v>196</v>
      </c>
      <c r="F11" s="3" t="s">
        <v>301</v>
      </c>
      <c r="G11" s="6" t="s">
        <v>11</v>
      </c>
      <c r="H11" s="154" t="s">
        <v>462</v>
      </c>
      <c r="I11" s="20">
        <v>0.7</v>
      </c>
      <c r="J11" s="70">
        <f>4149792/5</f>
        <v>829958.4</v>
      </c>
      <c r="K11" s="71">
        <f>4391006.4+829958.4</f>
        <v>5220964.8000000007</v>
      </c>
      <c r="L11" s="64">
        <f>(J11+K11)*0.7</f>
        <v>4235646.24</v>
      </c>
      <c r="M11" s="163"/>
      <c r="N11" s="125"/>
      <c r="O11" s="125"/>
      <c r="P11" s="125"/>
    </row>
    <row r="12" spans="1:16" s="31" customFormat="1" ht="21.75" customHeight="1">
      <c r="A12" s="22">
        <v>3</v>
      </c>
      <c r="B12" s="3" t="s">
        <v>307</v>
      </c>
      <c r="C12" s="6" t="s">
        <v>253</v>
      </c>
      <c r="D12" s="45" t="s">
        <v>85</v>
      </c>
      <c r="E12" s="17" t="s">
        <v>308</v>
      </c>
      <c r="F12" s="3" t="s">
        <v>306</v>
      </c>
      <c r="G12" s="6" t="s">
        <v>309</v>
      </c>
      <c r="H12" s="154" t="s">
        <v>462</v>
      </c>
      <c r="I12" s="20">
        <v>0.7</v>
      </c>
      <c r="J12" s="70">
        <f>5827968/5</f>
        <v>1165593.6000000001</v>
      </c>
      <c r="K12" s="70">
        <f>4232764.8+1165593.6</f>
        <v>5398358.4000000004</v>
      </c>
      <c r="L12" s="64">
        <f t="shared" ref="L12:L15" si="0">(J12+K12)*0.7</f>
        <v>4594766.3999999994</v>
      </c>
      <c r="M12" s="163"/>
      <c r="N12" s="125"/>
      <c r="O12" s="125"/>
      <c r="P12" s="125"/>
    </row>
    <row r="13" spans="1:16" s="31" customFormat="1" ht="21.75" customHeight="1">
      <c r="A13" s="22">
        <v>4</v>
      </c>
      <c r="B13" s="3" t="s">
        <v>304</v>
      </c>
      <c r="C13" s="6" t="s">
        <v>265</v>
      </c>
      <c r="D13" s="45" t="s">
        <v>305</v>
      </c>
      <c r="E13" s="17" t="s">
        <v>412</v>
      </c>
      <c r="F13" s="3" t="s">
        <v>306</v>
      </c>
      <c r="G13" s="6" t="s">
        <v>41</v>
      </c>
      <c r="H13" s="154" t="s">
        <v>462</v>
      </c>
      <c r="I13" s="20">
        <v>0.7</v>
      </c>
      <c r="J13" s="70">
        <f>5827968/5</f>
        <v>1165593.6000000001</v>
      </c>
      <c r="K13" s="70">
        <f>4232764.8+1165593.6</f>
        <v>5398358.4000000004</v>
      </c>
      <c r="L13" s="64">
        <f t="shared" si="0"/>
        <v>4594766.3999999994</v>
      </c>
      <c r="M13" s="163"/>
      <c r="N13" s="125"/>
      <c r="O13" s="125"/>
      <c r="P13" s="125"/>
    </row>
    <row r="14" spans="1:16" s="31" customFormat="1" ht="21.75" customHeight="1">
      <c r="A14" s="22">
        <v>5</v>
      </c>
      <c r="B14" s="3" t="s">
        <v>310</v>
      </c>
      <c r="C14" s="6" t="s">
        <v>311</v>
      </c>
      <c r="D14" s="45" t="s">
        <v>312</v>
      </c>
      <c r="E14" s="17" t="s">
        <v>313</v>
      </c>
      <c r="F14" s="3" t="s">
        <v>314</v>
      </c>
      <c r="G14" s="6" t="s">
        <v>11</v>
      </c>
      <c r="H14" s="154" t="s">
        <v>462</v>
      </c>
      <c r="I14" s="20">
        <v>0.7</v>
      </c>
      <c r="J14" s="70">
        <f>3780000/5</f>
        <v>756000</v>
      </c>
      <c r="K14" s="70">
        <f>3465000+756000</f>
        <v>4221000</v>
      </c>
      <c r="L14" s="64">
        <f t="shared" si="0"/>
        <v>3483900</v>
      </c>
      <c r="M14" s="163"/>
      <c r="N14" s="125"/>
      <c r="O14" s="125"/>
      <c r="P14" s="125"/>
    </row>
    <row r="15" spans="1:16" s="31" customFormat="1" ht="21.75" customHeight="1">
      <c r="A15" s="42">
        <v>6</v>
      </c>
      <c r="B15" s="37" t="s">
        <v>315</v>
      </c>
      <c r="C15" s="24" t="s">
        <v>316</v>
      </c>
      <c r="D15" s="46" t="s">
        <v>234</v>
      </c>
      <c r="E15" s="26" t="s">
        <v>317</v>
      </c>
      <c r="F15" s="23" t="s">
        <v>314</v>
      </c>
      <c r="G15" s="24" t="s">
        <v>190</v>
      </c>
      <c r="H15" s="151" t="s">
        <v>462</v>
      </c>
      <c r="I15" s="32">
        <v>0.7</v>
      </c>
      <c r="J15" s="72">
        <f>3780000/5</f>
        <v>756000</v>
      </c>
      <c r="K15" s="71">
        <f>2871000+756000</f>
        <v>3627000</v>
      </c>
      <c r="L15" s="73">
        <f t="shared" si="0"/>
        <v>3068100</v>
      </c>
      <c r="M15" s="174"/>
      <c r="N15" s="125"/>
      <c r="O15" s="125"/>
      <c r="P15" s="125"/>
    </row>
    <row r="16" spans="1:16" s="51" customFormat="1" ht="21.75" customHeight="1">
      <c r="A16" s="170" t="s">
        <v>428</v>
      </c>
      <c r="B16" s="171"/>
      <c r="C16" s="171"/>
      <c r="D16" s="171"/>
      <c r="E16" s="171"/>
      <c r="F16" s="171"/>
      <c r="G16" s="171"/>
      <c r="H16" s="172"/>
      <c r="I16" s="145"/>
      <c r="J16" s="74">
        <f>SUM(J10:J15)</f>
        <v>5459500.8000000007</v>
      </c>
      <c r="K16" s="74">
        <f>SUM(K10:K15)</f>
        <v>29718302.400000002</v>
      </c>
      <c r="L16" s="75">
        <f>SUM(L10:L15)</f>
        <v>24624462.239999998</v>
      </c>
      <c r="M16" s="92"/>
      <c r="N16" s="126"/>
      <c r="O16" s="126"/>
      <c r="P16" s="126"/>
    </row>
    <row r="17" spans="1:16" s="31" customFormat="1" ht="14.25" customHeight="1">
      <c r="A17" s="39"/>
      <c r="B17" s="38"/>
      <c r="C17" s="38"/>
      <c r="D17" s="38"/>
      <c r="E17" s="41"/>
      <c r="F17" s="38"/>
      <c r="G17" s="38"/>
      <c r="H17" s="38"/>
      <c r="I17" s="38"/>
      <c r="J17" s="39"/>
      <c r="K17" s="39"/>
      <c r="L17" s="39"/>
      <c r="N17" s="125"/>
      <c r="O17" s="125"/>
      <c r="P17" s="125"/>
    </row>
    <row r="18" spans="1:16" ht="17.25" customHeight="1">
      <c r="B18" s="82" t="s">
        <v>442</v>
      </c>
      <c r="C18" s="83"/>
      <c r="D18" s="83"/>
      <c r="E18" s="83"/>
      <c r="F18" s="83"/>
      <c r="G18" s="83"/>
      <c r="H18" s="83"/>
      <c r="I18" s="83"/>
      <c r="J18" s="106"/>
      <c r="K18" s="39"/>
      <c r="L18" s="39"/>
    </row>
    <row r="20" spans="1:16" ht="15.75">
      <c r="A20" s="157" t="s">
        <v>433</v>
      </c>
      <c r="B20" s="157"/>
      <c r="C20" s="157"/>
      <c r="D20" s="167" t="s">
        <v>429</v>
      </c>
      <c r="E20" s="167"/>
      <c r="F20" s="167"/>
      <c r="G20" s="167"/>
      <c r="H20" s="167"/>
      <c r="I20" s="167"/>
      <c r="J20" s="167"/>
      <c r="K20" s="168" t="s">
        <v>431</v>
      </c>
      <c r="L20" s="168"/>
      <c r="M20" s="168"/>
    </row>
    <row r="21" spans="1:16" ht="15.75">
      <c r="A21" s="2"/>
      <c r="B21" s="2"/>
      <c r="C21" s="2"/>
      <c r="D21" s="167" t="s">
        <v>430</v>
      </c>
      <c r="E21" s="167"/>
      <c r="F21" s="167"/>
      <c r="G21" s="167"/>
      <c r="H21" s="167"/>
      <c r="I21" s="167"/>
      <c r="J21" s="167"/>
      <c r="K21" s="168" t="s">
        <v>432</v>
      </c>
      <c r="L21" s="168"/>
      <c r="M21" s="168"/>
    </row>
    <row r="22" spans="1:16" ht="15.75">
      <c r="A22" s="2"/>
      <c r="B22" s="2"/>
      <c r="C22" s="2"/>
      <c r="D22" s="2"/>
      <c r="E22" s="88"/>
      <c r="F22" s="2"/>
      <c r="G22" s="2"/>
      <c r="H22" s="2"/>
      <c r="I22" s="2"/>
      <c r="J22" s="89"/>
      <c r="K22" s="89"/>
      <c r="L22" s="89"/>
      <c r="M22" s="89"/>
    </row>
    <row r="23" spans="1:16" ht="15.75">
      <c r="A23" s="2"/>
      <c r="B23" s="2"/>
      <c r="C23" s="2"/>
      <c r="D23" s="2"/>
      <c r="E23" s="88"/>
      <c r="F23" s="2"/>
      <c r="G23" s="2"/>
      <c r="H23" s="2"/>
      <c r="I23" s="2"/>
      <c r="J23" s="89"/>
      <c r="K23" s="89"/>
      <c r="L23" s="89"/>
      <c r="M23" s="89"/>
    </row>
    <row r="24" spans="1:16" ht="15.75">
      <c r="A24" s="2"/>
      <c r="B24" s="2"/>
      <c r="C24" s="2"/>
      <c r="D24" s="2"/>
      <c r="E24" s="88"/>
      <c r="F24" s="2"/>
      <c r="G24" s="2"/>
      <c r="H24" s="2"/>
      <c r="I24" s="2"/>
      <c r="J24" s="89"/>
      <c r="K24" s="89"/>
      <c r="L24" s="89"/>
      <c r="M24" s="89"/>
    </row>
    <row r="25" spans="1:16" ht="15.75">
      <c r="A25" s="2"/>
      <c r="B25" s="2"/>
      <c r="C25" s="2"/>
      <c r="D25" s="2"/>
      <c r="E25" s="88"/>
      <c r="F25" s="2"/>
      <c r="G25" s="2"/>
      <c r="H25" s="2"/>
      <c r="I25" s="2"/>
      <c r="J25" s="89"/>
      <c r="K25" s="169" t="s">
        <v>466</v>
      </c>
      <c r="L25" s="169"/>
      <c r="M25" s="169"/>
    </row>
    <row r="26" spans="1:16" ht="15.75">
      <c r="A26" s="2"/>
      <c r="B26" s="2"/>
      <c r="C26" s="2"/>
      <c r="D26" s="2"/>
      <c r="E26" s="88"/>
      <c r="F26" s="2"/>
      <c r="G26" s="2"/>
      <c r="H26" s="2"/>
      <c r="I26" s="2"/>
      <c r="J26" s="89"/>
      <c r="K26" s="89"/>
      <c r="L26" s="89"/>
      <c r="M26" s="89"/>
    </row>
    <row r="27" spans="1:16" ht="15.75">
      <c r="A27" s="2"/>
      <c r="B27" s="2"/>
      <c r="C27" s="2"/>
      <c r="D27" s="2"/>
      <c r="E27" s="88"/>
      <c r="F27" s="2"/>
      <c r="G27" s="2"/>
      <c r="H27" s="2"/>
      <c r="I27" s="2"/>
      <c r="J27" s="89"/>
      <c r="K27" s="89"/>
      <c r="L27" s="89"/>
      <c r="M27" s="89"/>
    </row>
    <row r="28" spans="1:16" ht="15.75">
      <c r="A28" s="2"/>
      <c r="B28" s="2"/>
      <c r="C28" s="2"/>
      <c r="D28" s="2"/>
      <c r="E28" s="2"/>
      <c r="F28" s="2"/>
      <c r="G28" s="2"/>
      <c r="H28" s="2"/>
      <c r="I28" s="2"/>
      <c r="J28" s="89"/>
      <c r="K28" s="2"/>
      <c r="L28" s="89"/>
      <c r="M28" s="89"/>
    </row>
    <row r="29" spans="1:16" ht="15.75">
      <c r="A29" s="157" t="s">
        <v>434</v>
      </c>
      <c r="B29" s="157"/>
      <c r="C29" s="157"/>
      <c r="D29" s="167" t="s">
        <v>435</v>
      </c>
      <c r="E29" s="167"/>
      <c r="F29" s="167"/>
      <c r="G29" s="167"/>
      <c r="H29" s="167"/>
      <c r="I29" s="167"/>
      <c r="J29" s="167"/>
      <c r="K29" s="168" t="s">
        <v>436</v>
      </c>
      <c r="L29" s="168"/>
      <c r="M29" s="168"/>
    </row>
    <row r="30" spans="1:16" ht="15.75">
      <c r="A30" s="1"/>
      <c r="B30" s="1"/>
      <c r="C30" s="1"/>
      <c r="D30" s="1"/>
      <c r="E30" s="1"/>
      <c r="F30" s="1"/>
      <c r="G30" s="1"/>
      <c r="H30" s="1"/>
      <c r="I30" s="1"/>
      <c r="J30" s="49"/>
      <c r="K30" s="1"/>
      <c r="L30" s="1"/>
      <c r="M30" s="1"/>
    </row>
  </sheetData>
  <sortState ref="A10:J11">
    <sortCondition ref="D10:D11"/>
  </sortState>
  <mergeCells count="16">
    <mergeCell ref="L7:M7"/>
    <mergeCell ref="A4:M4"/>
    <mergeCell ref="A5:M5"/>
    <mergeCell ref="A6:M6"/>
    <mergeCell ref="A29:C29"/>
    <mergeCell ref="D29:J29"/>
    <mergeCell ref="K29:M29"/>
    <mergeCell ref="M10:M15"/>
    <mergeCell ref="A20:C20"/>
    <mergeCell ref="D20:J20"/>
    <mergeCell ref="K20:M20"/>
    <mergeCell ref="D21:J21"/>
    <mergeCell ref="K21:M21"/>
    <mergeCell ref="G9:H9"/>
    <mergeCell ref="A16:H16"/>
    <mergeCell ref="K25:M25"/>
  </mergeCells>
  <pageMargins left="0.32" right="0.21" top="0.49" bottom="0.44" header="0.26" footer="0.16"/>
  <pageSetup paperSize="9" orientation="landscape" horizontalDpi="0" verticalDpi="0" r:id="rId1"/>
  <headerFooter>
    <oddHeader>&amp;CPage &amp;P&amp;RRHM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7"/>
  <sheetViews>
    <sheetView topLeftCell="C1" workbookViewId="0">
      <selection activeCell="A6" sqref="A6:M6"/>
    </sheetView>
  </sheetViews>
  <sheetFormatPr defaultRowHeight="15.75"/>
  <cols>
    <col min="1" max="1" width="5.5703125" style="1" customWidth="1"/>
    <col min="2" max="2" width="19" style="1" customWidth="1"/>
    <col min="3" max="3" width="13.5703125" style="1" customWidth="1"/>
    <col min="4" max="4" width="7.7109375" style="1" customWidth="1"/>
    <col min="5" max="5" width="11.140625" style="1" customWidth="1"/>
    <col min="6" max="6" width="10.28515625" style="1" customWidth="1"/>
    <col min="7" max="7" width="6" style="1" customWidth="1"/>
    <col min="8" max="8" width="10.42578125" style="1" customWidth="1"/>
    <col min="9" max="9" width="6.140625" style="1" customWidth="1"/>
    <col min="10" max="10" width="11" style="49" customWidth="1"/>
    <col min="11" max="11" width="14.85546875" style="1" customWidth="1"/>
    <col min="12" max="12" width="16.28515625" style="1" customWidth="1"/>
    <col min="13" max="13" width="9.28515625" style="1" customWidth="1"/>
    <col min="14" max="14" width="13.28515625" style="1" customWidth="1"/>
    <col min="15" max="16384" width="9.140625" style="1"/>
  </cols>
  <sheetData>
    <row r="1" spans="1:13">
      <c r="A1" s="1" t="s">
        <v>0</v>
      </c>
      <c r="E1" s="14"/>
    </row>
    <row r="2" spans="1:13">
      <c r="A2" s="2" t="s">
        <v>1</v>
      </c>
      <c r="B2" s="2"/>
      <c r="C2" s="2"/>
      <c r="E2" s="14"/>
    </row>
    <row r="3" spans="1:13" ht="9.75" customHeight="1">
      <c r="E3" s="14"/>
    </row>
    <row r="4" spans="1:13">
      <c r="A4" s="157" t="s">
        <v>452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</row>
    <row r="5" spans="1:13">
      <c r="A5" s="157" t="s">
        <v>444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</row>
    <row r="6" spans="1:13">
      <c r="A6" s="158" t="s">
        <v>467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</row>
    <row r="7" spans="1:13">
      <c r="A7" s="53"/>
      <c r="B7" s="53"/>
      <c r="C7" s="53"/>
      <c r="D7" s="53"/>
      <c r="E7" s="53"/>
      <c r="F7" s="53"/>
      <c r="G7" s="53"/>
      <c r="H7" s="144"/>
      <c r="I7" s="144"/>
      <c r="J7" s="53"/>
      <c r="K7" s="53"/>
      <c r="L7" s="161" t="s">
        <v>437</v>
      </c>
      <c r="M7" s="161"/>
    </row>
    <row r="8" spans="1:13">
      <c r="E8" s="14"/>
    </row>
    <row r="9" spans="1:13" ht="53.25" customHeight="1">
      <c r="A9" s="9" t="s">
        <v>2</v>
      </c>
      <c r="B9" s="10" t="s">
        <v>3</v>
      </c>
      <c r="C9" s="12" t="s">
        <v>457</v>
      </c>
      <c r="D9" s="11" t="s">
        <v>459</v>
      </c>
      <c r="E9" s="15" t="s">
        <v>4</v>
      </c>
      <c r="F9" s="9" t="s">
        <v>5</v>
      </c>
      <c r="G9" s="165" t="s">
        <v>461</v>
      </c>
      <c r="H9" s="166"/>
      <c r="I9" s="13" t="s">
        <v>6</v>
      </c>
      <c r="J9" s="33" t="s">
        <v>416</v>
      </c>
      <c r="K9" s="13" t="s">
        <v>417</v>
      </c>
      <c r="L9" s="13" t="s">
        <v>455</v>
      </c>
      <c r="M9" s="9" t="s">
        <v>7</v>
      </c>
    </row>
    <row r="10" spans="1:13" ht="25.5" customHeight="1">
      <c r="A10" s="22">
        <v>1</v>
      </c>
      <c r="B10" s="35" t="s">
        <v>319</v>
      </c>
      <c r="C10" s="6" t="s">
        <v>320</v>
      </c>
      <c r="D10" s="7" t="s">
        <v>160</v>
      </c>
      <c r="E10" s="17" t="s">
        <v>321</v>
      </c>
      <c r="F10" s="3" t="s">
        <v>322</v>
      </c>
      <c r="G10" s="6" t="s">
        <v>11</v>
      </c>
      <c r="H10" s="155" t="s">
        <v>462</v>
      </c>
      <c r="I10" s="20">
        <v>0.7</v>
      </c>
      <c r="J10" s="62">
        <f>4896000/5</f>
        <v>979200</v>
      </c>
      <c r="K10" s="63">
        <f>3841200+979200</f>
        <v>4820400</v>
      </c>
      <c r="L10" s="64">
        <f>(J10+K10)*0.7</f>
        <v>4059719.9999999995</v>
      </c>
      <c r="M10" s="162" t="s">
        <v>438</v>
      </c>
    </row>
    <row r="11" spans="1:13" ht="25.5" customHeight="1">
      <c r="A11" s="22">
        <v>2</v>
      </c>
      <c r="B11" s="35" t="s">
        <v>323</v>
      </c>
      <c r="C11" s="6" t="s">
        <v>16</v>
      </c>
      <c r="D11" s="7" t="s">
        <v>94</v>
      </c>
      <c r="E11" s="17" t="s">
        <v>324</v>
      </c>
      <c r="F11" s="3" t="s">
        <v>325</v>
      </c>
      <c r="G11" s="6" t="s">
        <v>12</v>
      </c>
      <c r="H11" s="7" t="s">
        <v>462</v>
      </c>
      <c r="I11" s="20">
        <v>0.7</v>
      </c>
      <c r="J11" s="62">
        <f>3636000/5</f>
        <v>727200</v>
      </c>
      <c r="K11" s="62">
        <f>4890600+727200</f>
        <v>5617800</v>
      </c>
      <c r="L11" s="64">
        <f t="shared" ref="L11:L13" si="0">(J11+K11)*0.7</f>
        <v>4441500</v>
      </c>
      <c r="M11" s="163"/>
    </row>
    <row r="12" spans="1:13" ht="25.5" customHeight="1">
      <c r="A12" s="22">
        <v>3</v>
      </c>
      <c r="B12" s="37" t="s">
        <v>326</v>
      </c>
      <c r="C12" s="24" t="s">
        <v>327</v>
      </c>
      <c r="D12" s="25" t="s">
        <v>328</v>
      </c>
      <c r="E12" s="26" t="s">
        <v>329</v>
      </c>
      <c r="F12" s="23" t="s">
        <v>325</v>
      </c>
      <c r="G12" s="24" t="s">
        <v>11</v>
      </c>
      <c r="H12" s="7" t="s">
        <v>462</v>
      </c>
      <c r="I12" s="32">
        <v>0.7</v>
      </c>
      <c r="J12" s="62">
        <f>3636000/5</f>
        <v>727200</v>
      </c>
      <c r="K12" s="62">
        <f>4890600+727200</f>
        <v>5617800</v>
      </c>
      <c r="L12" s="64">
        <f t="shared" si="0"/>
        <v>4441500</v>
      </c>
      <c r="M12" s="163"/>
    </row>
    <row r="13" spans="1:13" ht="25.5" customHeight="1">
      <c r="A13" s="42">
        <v>4</v>
      </c>
      <c r="B13" s="37" t="s">
        <v>413</v>
      </c>
      <c r="C13" s="24" t="s">
        <v>414</v>
      </c>
      <c r="D13" s="25" t="s">
        <v>128</v>
      </c>
      <c r="E13" s="52">
        <v>35620</v>
      </c>
      <c r="F13" s="23" t="s">
        <v>415</v>
      </c>
      <c r="G13" s="24" t="s">
        <v>12</v>
      </c>
      <c r="H13" s="7" t="s">
        <v>462</v>
      </c>
      <c r="I13" s="32">
        <v>0.7</v>
      </c>
      <c r="J13" s="76">
        <f>3240000/5</f>
        <v>648000</v>
      </c>
      <c r="K13" s="77">
        <f>3465000+648000</f>
        <v>4113000</v>
      </c>
      <c r="L13" s="73">
        <f t="shared" si="0"/>
        <v>3332700</v>
      </c>
      <c r="M13" s="163"/>
    </row>
    <row r="14" spans="1:13" ht="25.5" customHeight="1">
      <c r="A14" s="170" t="s">
        <v>428</v>
      </c>
      <c r="B14" s="171"/>
      <c r="C14" s="171"/>
      <c r="D14" s="171"/>
      <c r="E14" s="171"/>
      <c r="F14" s="171"/>
      <c r="G14" s="171"/>
      <c r="H14" s="172"/>
      <c r="I14" s="145"/>
      <c r="J14" s="78">
        <f>SUM(J10:J13)</f>
        <v>3081600</v>
      </c>
      <c r="K14" s="78">
        <f>SUM(K10:K13)</f>
        <v>20169000</v>
      </c>
      <c r="L14" s="75">
        <f>SUM(L10:L13)</f>
        <v>16275420</v>
      </c>
      <c r="M14" s="91"/>
    </row>
    <row r="16" spans="1:13">
      <c r="B16" s="108" t="s">
        <v>441</v>
      </c>
      <c r="C16" s="108"/>
      <c r="D16" s="108"/>
      <c r="E16" s="108"/>
      <c r="F16" s="108"/>
      <c r="G16" s="108"/>
      <c r="H16" s="108"/>
      <c r="I16" s="108"/>
      <c r="J16" s="109"/>
    </row>
    <row r="17" spans="1:14">
      <c r="M17" s="80"/>
      <c r="N17" s="80"/>
    </row>
    <row r="18" spans="1:14">
      <c r="A18" s="157" t="s">
        <v>433</v>
      </c>
      <c r="B18" s="157"/>
      <c r="C18" s="157"/>
      <c r="D18" s="167" t="s">
        <v>429</v>
      </c>
      <c r="E18" s="167"/>
      <c r="F18" s="167"/>
      <c r="G18" s="167"/>
      <c r="H18" s="167"/>
      <c r="I18" s="167"/>
      <c r="J18" s="167"/>
      <c r="K18" s="168" t="s">
        <v>431</v>
      </c>
      <c r="L18" s="168"/>
      <c r="M18" s="168"/>
    </row>
    <row r="19" spans="1:14">
      <c r="A19" s="2"/>
      <c r="B19" s="2"/>
      <c r="C19" s="2"/>
      <c r="D19" s="167" t="s">
        <v>430</v>
      </c>
      <c r="E19" s="167"/>
      <c r="F19" s="167"/>
      <c r="G19" s="167"/>
      <c r="H19" s="167"/>
      <c r="I19" s="167"/>
      <c r="J19" s="167"/>
      <c r="K19" s="168" t="s">
        <v>432</v>
      </c>
      <c r="L19" s="168"/>
      <c r="M19" s="168"/>
    </row>
    <row r="20" spans="1:14">
      <c r="A20" s="2"/>
      <c r="B20" s="2"/>
      <c r="C20" s="2"/>
      <c r="D20" s="2"/>
      <c r="E20" s="88"/>
      <c r="F20" s="2"/>
      <c r="G20" s="2"/>
      <c r="H20" s="2"/>
      <c r="I20" s="2"/>
      <c r="J20" s="89"/>
      <c r="K20" s="89"/>
      <c r="L20" s="89"/>
      <c r="M20" s="89"/>
    </row>
    <row r="21" spans="1:14">
      <c r="A21" s="2"/>
      <c r="B21" s="2"/>
      <c r="C21" s="2"/>
      <c r="D21" s="2"/>
      <c r="E21" s="88"/>
      <c r="F21" s="2"/>
      <c r="G21" s="2"/>
      <c r="H21" s="2"/>
      <c r="I21" s="2"/>
      <c r="J21" s="89"/>
      <c r="K21" s="89"/>
      <c r="L21" s="89"/>
      <c r="M21" s="89"/>
    </row>
    <row r="22" spans="1:14">
      <c r="A22" s="2"/>
      <c r="B22" s="2"/>
      <c r="C22" s="2"/>
      <c r="D22" s="2"/>
      <c r="E22" s="88"/>
      <c r="F22" s="2"/>
      <c r="G22" s="2"/>
      <c r="H22" s="2"/>
      <c r="I22" s="2"/>
      <c r="J22" s="89"/>
      <c r="K22" s="89"/>
      <c r="L22" s="89"/>
      <c r="M22" s="89"/>
    </row>
    <row r="23" spans="1:14">
      <c r="A23" s="2"/>
      <c r="B23" s="2"/>
      <c r="C23" s="2"/>
      <c r="D23" s="2"/>
      <c r="E23" s="88"/>
      <c r="F23" s="2"/>
      <c r="G23" s="2"/>
      <c r="H23" s="2"/>
      <c r="I23" s="2"/>
      <c r="J23" s="89"/>
      <c r="K23" s="169" t="s">
        <v>466</v>
      </c>
      <c r="L23" s="169"/>
      <c r="M23" s="169"/>
    </row>
    <row r="24" spans="1:14">
      <c r="A24" s="2"/>
      <c r="B24" s="2"/>
      <c r="C24" s="2"/>
      <c r="D24" s="2"/>
      <c r="E24" s="88"/>
      <c r="F24" s="2"/>
      <c r="G24" s="2"/>
      <c r="H24" s="2"/>
      <c r="I24" s="2"/>
      <c r="J24" s="89"/>
      <c r="K24" s="89"/>
      <c r="L24" s="89"/>
      <c r="M24" s="89"/>
    </row>
    <row r="25" spans="1:14">
      <c r="A25" s="2"/>
      <c r="B25" s="2"/>
      <c r="C25" s="2"/>
      <c r="D25" s="2"/>
      <c r="E25" s="88"/>
      <c r="F25" s="2"/>
      <c r="G25" s="2"/>
      <c r="H25" s="2"/>
      <c r="I25" s="2"/>
      <c r="J25" s="89"/>
      <c r="K25" s="89"/>
      <c r="L25" s="89"/>
      <c r="M25" s="89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89"/>
      <c r="K26" s="2"/>
      <c r="L26" s="89"/>
      <c r="M26" s="89"/>
    </row>
    <row r="27" spans="1:14">
      <c r="A27" s="157" t="s">
        <v>434</v>
      </c>
      <c r="B27" s="157"/>
      <c r="C27" s="157"/>
      <c r="D27" s="167" t="s">
        <v>435</v>
      </c>
      <c r="E27" s="167"/>
      <c r="F27" s="167"/>
      <c r="G27" s="167"/>
      <c r="H27" s="167"/>
      <c r="I27" s="167"/>
      <c r="J27" s="167"/>
      <c r="K27" s="168" t="s">
        <v>436</v>
      </c>
      <c r="L27" s="168"/>
      <c r="M27" s="168"/>
    </row>
  </sheetData>
  <mergeCells count="16">
    <mergeCell ref="A14:H14"/>
    <mergeCell ref="A27:C27"/>
    <mergeCell ref="D27:J27"/>
    <mergeCell ref="K27:M27"/>
    <mergeCell ref="A18:C18"/>
    <mergeCell ref="D18:J18"/>
    <mergeCell ref="K18:M18"/>
    <mergeCell ref="D19:J19"/>
    <mergeCell ref="K19:M19"/>
    <mergeCell ref="K23:M23"/>
    <mergeCell ref="M10:M13"/>
    <mergeCell ref="L7:M7"/>
    <mergeCell ref="A4:M4"/>
    <mergeCell ref="A5:M5"/>
    <mergeCell ref="A6:M6"/>
    <mergeCell ref="G9:H9"/>
  </mergeCells>
  <pageMargins left="0.36" right="0.2" top="0.54" bottom="0.16" header="0.3" footer="0.52"/>
  <pageSetup paperSize="9" orientation="landscape" horizontalDpi="0" verticalDpi="0" r:id="rId1"/>
  <headerFooter>
    <oddHeader>&amp;CPage &amp;P&amp;RYHDP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O36"/>
  <sheetViews>
    <sheetView topLeftCell="C22" workbookViewId="0">
      <selection activeCell="G34" sqref="G34"/>
    </sheetView>
  </sheetViews>
  <sheetFormatPr defaultRowHeight="15"/>
  <cols>
    <col min="1" max="1" width="4.7109375" customWidth="1"/>
    <col min="2" max="2" width="18.5703125" customWidth="1"/>
    <col min="3" max="3" width="15.42578125" customWidth="1"/>
    <col min="4" max="4" width="7.5703125" customWidth="1"/>
    <col min="5" max="5" width="11.28515625" customWidth="1"/>
    <col min="6" max="6" width="12.42578125" customWidth="1"/>
    <col min="7" max="7" width="7.140625" customWidth="1"/>
    <col min="8" max="8" width="10.140625" customWidth="1"/>
    <col min="9" max="9" width="8.5703125" customWidth="1"/>
    <col min="10" max="10" width="10.42578125" customWidth="1"/>
    <col min="11" max="11" width="15.85546875" customWidth="1"/>
    <col min="12" max="12" width="16.5703125" customWidth="1"/>
    <col min="13" max="13" width="11.140625" customWidth="1"/>
    <col min="14" max="14" width="10" customWidth="1"/>
  </cols>
  <sheetData>
    <row r="1" spans="1:13" ht="15.75">
      <c r="A1" s="1" t="s">
        <v>0</v>
      </c>
      <c r="B1" s="1"/>
      <c r="C1" s="1"/>
      <c r="D1" s="1"/>
      <c r="E1" s="14"/>
      <c r="F1" s="1"/>
      <c r="G1" s="1"/>
      <c r="H1" s="1"/>
      <c r="I1" s="1"/>
      <c r="J1" s="1"/>
      <c r="K1" s="1"/>
      <c r="L1" s="1"/>
    </row>
    <row r="2" spans="1:13" ht="15.75">
      <c r="A2" s="2" t="s">
        <v>1</v>
      </c>
      <c r="B2" s="2"/>
      <c r="C2" s="2"/>
      <c r="D2" s="1"/>
      <c r="E2" s="14"/>
      <c r="F2" s="1"/>
      <c r="G2" s="1"/>
      <c r="H2" s="1"/>
      <c r="I2" s="1"/>
      <c r="J2" s="1"/>
      <c r="K2" s="1"/>
      <c r="L2" s="1"/>
    </row>
    <row r="3" spans="1:13" ht="21" customHeight="1">
      <c r="A3" s="157" t="s">
        <v>454</v>
      </c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</row>
    <row r="4" spans="1:13" ht="15.75">
      <c r="A4" s="157" t="s">
        <v>444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</row>
    <row r="5" spans="1:13" ht="20.25" customHeight="1">
      <c r="A5" s="158" t="s">
        <v>467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3" ht="20.25" customHeight="1">
      <c r="A6" s="53"/>
      <c r="B6" s="53"/>
      <c r="C6" s="53"/>
      <c r="D6" s="53"/>
      <c r="E6" s="53"/>
      <c r="F6" s="53"/>
      <c r="G6" s="53"/>
      <c r="H6" s="144"/>
      <c r="I6" s="144"/>
      <c r="J6" s="53"/>
      <c r="K6" s="53"/>
      <c r="L6" s="161" t="s">
        <v>437</v>
      </c>
      <c r="M6" s="161"/>
    </row>
    <row r="7" spans="1:13" ht="15" customHeight="1">
      <c r="A7" s="1"/>
      <c r="B7" s="1"/>
      <c r="C7" s="1"/>
      <c r="D7" s="1"/>
      <c r="E7" s="14"/>
      <c r="F7" s="1"/>
      <c r="G7" s="1"/>
      <c r="H7" s="1"/>
      <c r="I7" s="1"/>
      <c r="J7" s="1"/>
      <c r="K7" s="1"/>
      <c r="L7" s="1"/>
    </row>
    <row r="8" spans="1:13" ht="63" customHeight="1">
      <c r="A8" s="9" t="s">
        <v>2</v>
      </c>
      <c r="B8" s="10" t="s">
        <v>3</v>
      </c>
      <c r="C8" s="12" t="s">
        <v>457</v>
      </c>
      <c r="D8" s="11" t="s">
        <v>459</v>
      </c>
      <c r="E8" s="15" t="s">
        <v>4</v>
      </c>
      <c r="F8" s="9" t="s">
        <v>5</v>
      </c>
      <c r="G8" s="165" t="s">
        <v>461</v>
      </c>
      <c r="H8" s="166"/>
      <c r="I8" s="13" t="s">
        <v>6</v>
      </c>
      <c r="J8" s="33" t="s">
        <v>416</v>
      </c>
      <c r="K8" s="13" t="s">
        <v>417</v>
      </c>
      <c r="L8" s="13" t="s">
        <v>455</v>
      </c>
      <c r="M8" s="9" t="s">
        <v>7</v>
      </c>
    </row>
    <row r="9" spans="1:13" s="31" customFormat="1" ht="29.25" customHeight="1">
      <c r="A9" s="21">
        <v>1</v>
      </c>
      <c r="B9" s="1" t="s">
        <v>330</v>
      </c>
      <c r="C9" s="5" t="s">
        <v>331</v>
      </c>
      <c r="D9" s="47" t="s">
        <v>332</v>
      </c>
      <c r="E9" s="16" t="s">
        <v>333</v>
      </c>
      <c r="F9" s="8" t="s">
        <v>334</v>
      </c>
      <c r="G9" s="152" t="s">
        <v>50</v>
      </c>
      <c r="H9" s="153" t="s">
        <v>462</v>
      </c>
      <c r="I9" s="19">
        <v>0.7</v>
      </c>
      <c r="J9" s="63">
        <f>4108392/5</f>
        <v>821678.4</v>
      </c>
      <c r="K9" s="63">
        <f>5529427.2+821678.4</f>
        <v>6351105.6000000006</v>
      </c>
      <c r="L9" s="69">
        <f t="shared" ref="L9:L22" si="0">(J9+K9)*0.7</f>
        <v>5020948.8000000007</v>
      </c>
      <c r="M9" s="162" t="s">
        <v>438</v>
      </c>
    </row>
    <row r="10" spans="1:13" s="31" customFormat="1" ht="29.25" customHeight="1">
      <c r="A10" s="22">
        <v>2</v>
      </c>
      <c r="B10" s="3" t="s">
        <v>341</v>
      </c>
      <c r="C10" s="18" t="s">
        <v>342</v>
      </c>
      <c r="D10" s="45" t="s">
        <v>245</v>
      </c>
      <c r="E10" s="17" t="s">
        <v>343</v>
      </c>
      <c r="F10" s="3" t="s">
        <v>340</v>
      </c>
      <c r="G10" s="6" t="s">
        <v>11</v>
      </c>
      <c r="H10" s="7" t="s">
        <v>462</v>
      </c>
      <c r="I10" s="19">
        <v>0.7</v>
      </c>
      <c r="J10" s="62">
        <f>4835016/5</f>
        <v>967003.2</v>
      </c>
      <c r="K10" s="79">
        <f>5409835.2+967003.2</f>
        <v>6376838.4000000004</v>
      </c>
      <c r="L10" s="64">
        <f t="shared" si="0"/>
        <v>5140689.12</v>
      </c>
      <c r="M10" s="163"/>
    </row>
    <row r="11" spans="1:13" s="31" customFormat="1" ht="29.25" customHeight="1">
      <c r="A11" s="22">
        <v>3</v>
      </c>
      <c r="B11" s="3" t="s">
        <v>338</v>
      </c>
      <c r="C11" s="6" t="s">
        <v>16</v>
      </c>
      <c r="D11" s="45" t="s">
        <v>94</v>
      </c>
      <c r="E11" s="17" t="s">
        <v>339</v>
      </c>
      <c r="F11" s="3" t="s">
        <v>340</v>
      </c>
      <c r="G11" s="6" t="s">
        <v>26</v>
      </c>
      <c r="H11" s="7" t="s">
        <v>462</v>
      </c>
      <c r="I11" s="19">
        <v>0.7</v>
      </c>
      <c r="J11" s="62">
        <f>4835016/5</f>
        <v>967003.2</v>
      </c>
      <c r="K11" s="79">
        <f>5409835.2+967003.2</f>
        <v>6376838.4000000004</v>
      </c>
      <c r="L11" s="64">
        <f t="shared" si="0"/>
        <v>5140689.12</v>
      </c>
      <c r="M11" s="163"/>
    </row>
    <row r="12" spans="1:13" s="31" customFormat="1" ht="29.25" customHeight="1">
      <c r="A12" s="22">
        <v>4</v>
      </c>
      <c r="B12" s="3" t="s">
        <v>344</v>
      </c>
      <c r="C12" s="24" t="s">
        <v>345</v>
      </c>
      <c r="D12" s="46" t="s">
        <v>293</v>
      </c>
      <c r="E12" s="26" t="s">
        <v>346</v>
      </c>
      <c r="F12" s="3" t="s">
        <v>340</v>
      </c>
      <c r="G12" s="24" t="s">
        <v>12</v>
      </c>
      <c r="H12" s="7" t="s">
        <v>462</v>
      </c>
      <c r="I12" s="19">
        <v>0.7</v>
      </c>
      <c r="J12" s="62">
        <f>4835016/5</f>
        <v>967003.2</v>
      </c>
      <c r="K12" s="79">
        <f>5409835.2+967003.2</f>
        <v>6376838.4000000004</v>
      </c>
      <c r="L12" s="73">
        <f t="shared" si="0"/>
        <v>5140689.12</v>
      </c>
      <c r="M12" s="163"/>
    </row>
    <row r="13" spans="1:13" s="31" customFormat="1" ht="29.25" customHeight="1">
      <c r="A13" s="22">
        <v>5</v>
      </c>
      <c r="B13" s="3" t="s">
        <v>352</v>
      </c>
      <c r="C13" s="24" t="s">
        <v>353</v>
      </c>
      <c r="D13" s="46" t="s">
        <v>354</v>
      </c>
      <c r="E13" s="26" t="s">
        <v>355</v>
      </c>
      <c r="F13" s="3" t="s">
        <v>356</v>
      </c>
      <c r="G13" s="24" t="s">
        <v>11</v>
      </c>
      <c r="H13" s="7" t="s">
        <v>462</v>
      </c>
      <c r="I13" s="19">
        <v>0.7</v>
      </c>
      <c r="J13" s="62">
        <f>4226688/5</f>
        <v>845337.59999999998</v>
      </c>
      <c r="K13" s="79">
        <f>4356000+845337.6</f>
        <v>5201337.5999999996</v>
      </c>
      <c r="L13" s="73">
        <f t="shared" si="0"/>
        <v>4232672.6399999997</v>
      </c>
      <c r="M13" s="163"/>
    </row>
    <row r="14" spans="1:13" s="31" customFormat="1" ht="29.25" customHeight="1">
      <c r="A14" s="22">
        <v>6</v>
      </c>
      <c r="B14" s="3" t="s">
        <v>365</v>
      </c>
      <c r="C14" s="24" t="s">
        <v>300</v>
      </c>
      <c r="D14" s="46" t="s">
        <v>160</v>
      </c>
      <c r="E14" s="26" t="s">
        <v>366</v>
      </c>
      <c r="F14" s="23" t="s">
        <v>360</v>
      </c>
      <c r="G14" s="24" t="s">
        <v>11</v>
      </c>
      <c r="H14" s="7" t="s">
        <v>462</v>
      </c>
      <c r="I14" s="19">
        <v>0.7</v>
      </c>
      <c r="J14" s="62">
        <f>3780000/5</f>
        <v>756000</v>
      </c>
      <c r="K14" s="79">
        <f>4653000+756000</f>
        <v>5409000</v>
      </c>
      <c r="L14" s="73">
        <f t="shared" si="0"/>
        <v>4315500</v>
      </c>
      <c r="M14" s="163"/>
    </row>
    <row r="15" spans="1:13" s="31" customFormat="1" ht="29.25" customHeight="1">
      <c r="A15" s="22">
        <v>7</v>
      </c>
      <c r="B15" s="3" t="s">
        <v>379</v>
      </c>
      <c r="C15" s="24" t="s">
        <v>358</v>
      </c>
      <c r="D15" s="46" t="s">
        <v>380</v>
      </c>
      <c r="E15" s="26" t="s">
        <v>381</v>
      </c>
      <c r="F15" s="23" t="s">
        <v>369</v>
      </c>
      <c r="G15" s="24" t="s">
        <v>11</v>
      </c>
      <c r="H15" s="7" t="s">
        <v>462</v>
      </c>
      <c r="I15" s="19">
        <v>0.7</v>
      </c>
      <c r="J15" s="62">
        <f>3780000/5</f>
        <v>756000</v>
      </c>
      <c r="K15" s="79">
        <f>4653000+756000</f>
        <v>5409000</v>
      </c>
      <c r="L15" s="73">
        <f t="shared" si="0"/>
        <v>4315500</v>
      </c>
      <c r="M15" s="163"/>
    </row>
    <row r="16" spans="1:13" s="31" customFormat="1" ht="29.25" customHeight="1">
      <c r="A16" s="22">
        <v>8</v>
      </c>
      <c r="B16" s="3" t="s">
        <v>367</v>
      </c>
      <c r="C16" s="24" t="s">
        <v>347</v>
      </c>
      <c r="D16" s="46" t="s">
        <v>50</v>
      </c>
      <c r="E16" s="26" t="s">
        <v>368</v>
      </c>
      <c r="F16" s="23" t="s">
        <v>369</v>
      </c>
      <c r="G16" s="24" t="s">
        <v>11</v>
      </c>
      <c r="H16" s="7" t="s">
        <v>462</v>
      </c>
      <c r="I16" s="19">
        <v>0.7</v>
      </c>
      <c r="J16" s="62">
        <f>3780000/5</f>
        <v>756000</v>
      </c>
      <c r="K16" s="79">
        <f>4059000+756000</f>
        <v>4815000</v>
      </c>
      <c r="L16" s="73">
        <f t="shared" si="0"/>
        <v>3899699.9999999995</v>
      </c>
      <c r="M16" s="163"/>
    </row>
    <row r="17" spans="1:15" s="31" customFormat="1" ht="29.25" customHeight="1">
      <c r="A17" s="22">
        <v>9</v>
      </c>
      <c r="B17" s="23" t="s">
        <v>370</v>
      </c>
      <c r="C17" s="24" t="s">
        <v>371</v>
      </c>
      <c r="D17" s="46" t="s">
        <v>372</v>
      </c>
      <c r="E17" s="26" t="s">
        <v>373</v>
      </c>
      <c r="F17" s="23" t="s">
        <v>369</v>
      </c>
      <c r="G17" s="24" t="s">
        <v>11</v>
      </c>
      <c r="H17" s="7" t="s">
        <v>462</v>
      </c>
      <c r="I17" s="32">
        <v>0.7</v>
      </c>
      <c r="J17" s="62">
        <f>3780000/5</f>
        <v>756000</v>
      </c>
      <c r="K17" s="79">
        <f>4059000+756000</f>
        <v>4815000</v>
      </c>
      <c r="L17" s="73">
        <f t="shared" si="0"/>
        <v>3899699.9999999995</v>
      </c>
      <c r="M17" s="164"/>
    </row>
    <row r="18" spans="1:15" s="31" customFormat="1" ht="29.25" customHeight="1">
      <c r="A18" s="22">
        <v>10</v>
      </c>
      <c r="B18" s="3" t="s">
        <v>336</v>
      </c>
      <c r="C18" s="6" t="s">
        <v>16</v>
      </c>
      <c r="D18" s="45" t="s">
        <v>165</v>
      </c>
      <c r="E18" s="17" t="s">
        <v>337</v>
      </c>
      <c r="F18" s="3" t="s">
        <v>335</v>
      </c>
      <c r="G18" s="6" t="s">
        <v>309</v>
      </c>
      <c r="H18" s="7" t="s">
        <v>464</v>
      </c>
      <c r="I18" s="20">
        <v>0.7</v>
      </c>
      <c r="J18" s="62">
        <v>0</v>
      </c>
      <c r="K18" s="79">
        <f>5529427.2+821678.4</f>
        <v>6351105.6000000006</v>
      </c>
      <c r="L18" s="50">
        <f t="shared" si="0"/>
        <v>4445773.92</v>
      </c>
      <c r="M18" s="175" t="s">
        <v>439</v>
      </c>
    </row>
    <row r="19" spans="1:15" s="31" customFormat="1" ht="29.25" customHeight="1">
      <c r="A19" s="22">
        <v>11</v>
      </c>
      <c r="B19" s="3" t="s">
        <v>349</v>
      </c>
      <c r="C19" s="24" t="s">
        <v>350</v>
      </c>
      <c r="D19" s="46" t="s">
        <v>211</v>
      </c>
      <c r="E19" s="26" t="s">
        <v>351</v>
      </c>
      <c r="F19" s="3" t="s">
        <v>348</v>
      </c>
      <c r="G19" s="24" t="s">
        <v>41</v>
      </c>
      <c r="H19" s="7" t="s">
        <v>462</v>
      </c>
      <c r="I19" s="19">
        <v>0.7</v>
      </c>
      <c r="J19" s="62">
        <v>0</v>
      </c>
      <c r="K19" s="79">
        <f>5409835.2+967003.2+594000</f>
        <v>6970838.4000000004</v>
      </c>
      <c r="L19" s="73">
        <f t="shared" si="0"/>
        <v>4879586.88</v>
      </c>
      <c r="M19" s="176"/>
      <c r="O19" s="90"/>
    </row>
    <row r="20" spans="1:15" s="31" customFormat="1" ht="29.25" customHeight="1">
      <c r="A20" s="22">
        <v>12</v>
      </c>
      <c r="B20" s="3" t="s">
        <v>357</v>
      </c>
      <c r="C20" s="6" t="s">
        <v>358</v>
      </c>
      <c r="D20" s="45" t="s">
        <v>359</v>
      </c>
      <c r="E20" s="17" t="s">
        <v>185</v>
      </c>
      <c r="F20" s="3" t="s">
        <v>348</v>
      </c>
      <c r="G20" s="6" t="s">
        <v>41</v>
      </c>
      <c r="H20" s="7" t="s">
        <v>462</v>
      </c>
      <c r="I20" s="19">
        <v>0.7</v>
      </c>
      <c r="J20" s="62">
        <v>0</v>
      </c>
      <c r="K20" s="101">
        <f>5409835.2+967003.2</f>
        <v>6376838.4000000004</v>
      </c>
      <c r="L20" s="64">
        <f t="shared" si="0"/>
        <v>4463786.88</v>
      </c>
      <c r="M20" s="177"/>
    </row>
    <row r="21" spans="1:15" s="31" customFormat="1" ht="29.25" customHeight="1">
      <c r="A21" s="22">
        <v>13</v>
      </c>
      <c r="B21" s="3" t="s">
        <v>375</v>
      </c>
      <c r="C21" s="6" t="s">
        <v>376</v>
      </c>
      <c r="D21" s="45" t="s">
        <v>377</v>
      </c>
      <c r="E21" s="17" t="s">
        <v>378</v>
      </c>
      <c r="F21" s="3" t="s">
        <v>360</v>
      </c>
      <c r="G21" s="6" t="s">
        <v>41</v>
      </c>
      <c r="H21" s="7" t="s">
        <v>462</v>
      </c>
      <c r="I21" s="20">
        <v>0.7</v>
      </c>
      <c r="J21" s="140">
        <v>0</v>
      </c>
      <c r="K21" s="142">
        <f>2475000+756000</f>
        <v>3231000</v>
      </c>
      <c r="L21" s="64">
        <f t="shared" si="0"/>
        <v>2261700</v>
      </c>
      <c r="M21" s="175" t="s">
        <v>439</v>
      </c>
    </row>
    <row r="22" spans="1:15" s="31" customFormat="1" ht="29.25" customHeight="1">
      <c r="A22" s="93">
        <v>14</v>
      </c>
      <c r="B22" s="94" t="s">
        <v>361</v>
      </c>
      <c r="C22" s="95" t="s">
        <v>362</v>
      </c>
      <c r="D22" s="96" t="s">
        <v>363</v>
      </c>
      <c r="E22" s="97" t="s">
        <v>364</v>
      </c>
      <c r="F22" s="94" t="s">
        <v>360</v>
      </c>
      <c r="G22" s="95" t="s">
        <v>11</v>
      </c>
      <c r="H22" s="7" t="s">
        <v>462</v>
      </c>
      <c r="I22" s="30">
        <v>0.7</v>
      </c>
      <c r="J22" s="98">
        <v>0</v>
      </c>
      <c r="K22" s="99">
        <f>2178000+756000</f>
        <v>2934000</v>
      </c>
      <c r="L22" s="100">
        <f t="shared" si="0"/>
        <v>2053799.9999999998</v>
      </c>
      <c r="M22" s="178"/>
    </row>
    <row r="23" spans="1:15" s="51" customFormat="1" ht="29.25" customHeight="1">
      <c r="A23" s="170" t="s">
        <v>428</v>
      </c>
      <c r="B23" s="171"/>
      <c r="C23" s="171"/>
      <c r="D23" s="171"/>
      <c r="E23" s="171"/>
      <c r="F23" s="171"/>
      <c r="G23" s="171"/>
      <c r="H23" s="172"/>
      <c r="I23" s="145"/>
      <c r="J23" s="78">
        <f>SUM(J9:J22)</f>
        <v>7592025.5999999996</v>
      </c>
      <c r="K23" s="78">
        <f>SUM(K9:K22)</f>
        <v>76994740.799999997</v>
      </c>
      <c r="L23" s="75">
        <f>SUM(L9:L22)</f>
        <v>59210736.480000012</v>
      </c>
      <c r="M23" s="92"/>
      <c r="N23" s="126"/>
    </row>
    <row r="25" spans="1:15" s="31" customFormat="1" ht="18.75" customHeight="1">
      <c r="A25" s="39"/>
      <c r="B25" s="104" t="s">
        <v>440</v>
      </c>
      <c r="C25" s="104"/>
      <c r="D25" s="104"/>
      <c r="E25" s="105"/>
      <c r="F25" s="104"/>
      <c r="G25" s="104"/>
      <c r="H25" s="104"/>
      <c r="I25" s="104"/>
      <c r="J25" s="106"/>
      <c r="K25" s="39"/>
      <c r="L25" s="39"/>
    </row>
    <row r="27" spans="1:15" ht="15.75">
      <c r="A27" s="157" t="s">
        <v>433</v>
      </c>
      <c r="B27" s="157"/>
      <c r="C27" s="157"/>
      <c r="D27" s="167" t="s">
        <v>429</v>
      </c>
      <c r="E27" s="167"/>
      <c r="F27" s="167"/>
      <c r="G27" s="167"/>
      <c r="H27" s="167"/>
      <c r="I27" s="167"/>
      <c r="J27" s="167"/>
      <c r="K27" s="168" t="s">
        <v>431</v>
      </c>
      <c r="L27" s="168"/>
      <c r="M27" s="168"/>
    </row>
    <row r="28" spans="1:15" ht="15.75">
      <c r="A28" s="2"/>
      <c r="B28" s="2"/>
      <c r="C28" s="2"/>
      <c r="D28" s="167" t="s">
        <v>430</v>
      </c>
      <c r="E28" s="167"/>
      <c r="F28" s="167"/>
      <c r="G28" s="167"/>
      <c r="H28" s="167"/>
      <c r="I28" s="167"/>
      <c r="J28" s="167"/>
      <c r="K28" s="168" t="s">
        <v>432</v>
      </c>
      <c r="L28" s="168"/>
      <c r="M28" s="168"/>
    </row>
    <row r="29" spans="1:15" ht="15.75">
      <c r="A29" s="2"/>
      <c r="B29" s="2"/>
      <c r="C29" s="2"/>
      <c r="D29" s="2"/>
      <c r="E29" s="88"/>
      <c r="F29" s="2"/>
      <c r="G29" s="2"/>
      <c r="H29" s="2"/>
      <c r="I29" s="2"/>
      <c r="K29" s="89"/>
      <c r="L29" s="89"/>
      <c r="M29" s="89"/>
    </row>
    <row r="30" spans="1:15" ht="15.75">
      <c r="A30" s="2"/>
      <c r="B30" s="2"/>
      <c r="C30" s="2"/>
      <c r="D30" s="2"/>
      <c r="E30" s="88"/>
      <c r="F30" s="2"/>
      <c r="G30" s="2"/>
      <c r="H30" s="2"/>
      <c r="I30" s="2"/>
      <c r="K30" s="89"/>
      <c r="L30" s="89"/>
      <c r="M30" s="89"/>
    </row>
    <row r="31" spans="1:15" ht="15.75">
      <c r="A31" s="2"/>
      <c r="B31" s="2"/>
      <c r="C31" s="2"/>
      <c r="D31" s="2"/>
      <c r="E31" s="88"/>
      <c r="F31" s="2"/>
      <c r="G31" s="2"/>
      <c r="H31" s="2"/>
      <c r="I31" s="2"/>
      <c r="K31" s="89"/>
      <c r="L31" s="89"/>
      <c r="M31" s="89"/>
    </row>
    <row r="32" spans="1:15" ht="15.75">
      <c r="A32" s="2"/>
      <c r="B32" s="2"/>
      <c r="C32" s="2"/>
      <c r="D32" s="2"/>
      <c r="E32" s="88"/>
      <c r="F32" s="2"/>
      <c r="G32" s="2"/>
      <c r="H32" s="2"/>
      <c r="I32" s="2"/>
      <c r="K32" s="169" t="s">
        <v>466</v>
      </c>
      <c r="L32" s="169"/>
      <c r="M32" s="169"/>
    </row>
    <row r="33" spans="1:13" ht="15.75">
      <c r="A33" s="2"/>
      <c r="B33" s="2"/>
      <c r="C33" s="2"/>
      <c r="D33" s="2"/>
      <c r="E33" s="88"/>
      <c r="F33" s="2"/>
      <c r="G33" s="2"/>
      <c r="H33" s="2"/>
      <c r="I33" s="2"/>
      <c r="K33" s="89"/>
      <c r="L33" s="89"/>
      <c r="M33" s="89"/>
    </row>
    <row r="34" spans="1:13" ht="15.75">
      <c r="A34" s="2"/>
      <c r="B34" s="2"/>
      <c r="C34" s="2"/>
      <c r="D34" s="2"/>
      <c r="E34" s="88"/>
      <c r="F34" s="2"/>
      <c r="G34" s="2"/>
      <c r="H34" s="2"/>
      <c r="I34" s="2"/>
      <c r="K34" s="89"/>
      <c r="L34" s="89"/>
      <c r="M34" s="89"/>
    </row>
    <row r="35" spans="1:13" ht="15.75">
      <c r="A35" s="2"/>
      <c r="B35" s="2"/>
      <c r="C35" s="2"/>
      <c r="D35" s="2"/>
      <c r="E35" s="2"/>
      <c r="F35" s="2"/>
      <c r="G35" s="2"/>
      <c r="H35" s="2"/>
      <c r="I35" s="2"/>
      <c r="K35" s="89"/>
      <c r="L35" s="2"/>
      <c r="M35" s="89"/>
    </row>
    <row r="36" spans="1:13" ht="15.75">
      <c r="A36" s="157" t="s">
        <v>434</v>
      </c>
      <c r="B36" s="157"/>
      <c r="C36" s="157"/>
      <c r="D36" s="167" t="s">
        <v>435</v>
      </c>
      <c r="E36" s="167"/>
      <c r="F36" s="167"/>
      <c r="G36" s="167"/>
      <c r="H36" s="167"/>
      <c r="I36" s="167"/>
      <c r="J36" s="167"/>
      <c r="K36" s="168" t="s">
        <v>436</v>
      </c>
      <c r="L36" s="168"/>
      <c r="M36" s="168"/>
    </row>
  </sheetData>
  <sortState ref="A19:Q20">
    <sortCondition ref="D23:D26"/>
  </sortState>
  <mergeCells count="18">
    <mergeCell ref="M18:M20"/>
    <mergeCell ref="M21:M22"/>
    <mergeCell ref="G8:H8"/>
    <mergeCell ref="A23:H23"/>
    <mergeCell ref="A36:C36"/>
    <mergeCell ref="K27:M27"/>
    <mergeCell ref="K28:M28"/>
    <mergeCell ref="K36:M36"/>
    <mergeCell ref="D27:J27"/>
    <mergeCell ref="D28:J28"/>
    <mergeCell ref="D36:J36"/>
    <mergeCell ref="A27:C27"/>
    <mergeCell ref="K32:M32"/>
    <mergeCell ref="L6:M6"/>
    <mergeCell ref="M9:M17"/>
    <mergeCell ref="A3:M3"/>
    <mergeCell ref="A4:M4"/>
    <mergeCell ref="A5:M5"/>
  </mergeCells>
  <pageMargins left="0.27" right="0.2" top="0.52" bottom="0.54" header="0.33" footer="0.3"/>
  <pageSetup paperSize="9" scale="95" orientation="landscape" horizontalDpi="0" verticalDpi="0" r:id="rId1"/>
  <headerFooter>
    <oddHeader>&amp;CPage &amp;P&amp;RDược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30"/>
  <sheetViews>
    <sheetView topLeftCell="C1" workbookViewId="0">
      <selection activeCell="M10" sqref="M10:M12"/>
    </sheetView>
  </sheetViews>
  <sheetFormatPr defaultRowHeight="15"/>
  <cols>
    <col min="1" max="1" width="4.42578125" customWidth="1"/>
    <col min="2" max="2" width="19.28515625" customWidth="1"/>
    <col min="3" max="3" width="14.7109375" customWidth="1"/>
    <col min="4" max="4" width="7.5703125" customWidth="1"/>
    <col min="5" max="5" width="10.85546875" style="28" customWidth="1"/>
    <col min="6" max="6" width="13" customWidth="1"/>
    <col min="7" max="7" width="7.42578125" customWidth="1"/>
    <col min="8" max="8" width="10.28515625" customWidth="1"/>
    <col min="9" max="9" width="7.140625" customWidth="1"/>
    <col min="10" max="10" width="10.42578125" style="56" customWidth="1"/>
    <col min="11" max="11" width="15" style="56" customWidth="1"/>
    <col min="12" max="12" width="16.28515625" style="56" customWidth="1"/>
    <col min="13" max="13" width="6.7109375" style="56" customWidth="1"/>
  </cols>
  <sheetData>
    <row r="1" spans="1:13" ht="15.75">
      <c r="A1" s="1" t="s">
        <v>0</v>
      </c>
      <c r="B1" s="1"/>
      <c r="C1" s="1"/>
      <c r="D1" s="1"/>
      <c r="E1" s="14"/>
      <c r="F1" s="1"/>
      <c r="G1" s="1"/>
      <c r="H1" s="1"/>
      <c r="I1" s="1"/>
      <c r="J1" s="55"/>
      <c r="K1" s="55"/>
      <c r="L1" s="55"/>
    </row>
    <row r="2" spans="1:13" ht="15.75">
      <c r="A2" s="2" t="s">
        <v>1</v>
      </c>
      <c r="B2" s="2"/>
      <c r="C2" s="2"/>
      <c r="D2" s="1"/>
      <c r="E2" s="14"/>
      <c r="F2" s="1"/>
      <c r="G2" s="1"/>
      <c r="H2" s="1"/>
      <c r="I2" s="1"/>
      <c r="J2" s="55"/>
      <c r="K2" s="55"/>
      <c r="L2" s="55"/>
    </row>
    <row r="3" spans="1:13" ht="8.25" customHeight="1">
      <c r="A3" s="1"/>
      <c r="B3" s="1"/>
      <c r="C3" s="1"/>
      <c r="D3" s="1"/>
      <c r="E3" s="14"/>
      <c r="F3" s="1"/>
      <c r="G3" s="1"/>
      <c r="H3" s="1"/>
      <c r="I3" s="1"/>
      <c r="J3" s="55"/>
      <c r="K3" s="55"/>
      <c r="L3" s="55"/>
    </row>
    <row r="4" spans="1:13" ht="15.75">
      <c r="A4" s="157" t="s">
        <v>453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</row>
    <row r="5" spans="1:13" ht="15.75">
      <c r="A5" s="157" t="s">
        <v>445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</row>
    <row r="6" spans="1:13" ht="15.75">
      <c r="A6" s="158" t="s">
        <v>467</v>
      </c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</row>
    <row r="7" spans="1:13" ht="15.75">
      <c r="A7" s="53"/>
      <c r="B7" s="53"/>
      <c r="C7" s="53"/>
      <c r="D7" s="53"/>
      <c r="E7" s="53"/>
      <c r="F7" s="53"/>
      <c r="G7" s="53"/>
      <c r="H7" s="144"/>
      <c r="I7" s="144"/>
      <c r="J7" s="53"/>
      <c r="K7" s="53"/>
      <c r="L7" s="179" t="s">
        <v>437</v>
      </c>
      <c r="M7" s="179"/>
    </row>
    <row r="8" spans="1:13" ht="9" customHeight="1">
      <c r="A8" s="1"/>
      <c r="B8" s="1"/>
      <c r="C8" s="1"/>
      <c r="D8" s="1"/>
      <c r="E8" s="14"/>
      <c r="F8" s="1"/>
      <c r="G8" s="1"/>
      <c r="H8" s="1"/>
      <c r="I8" s="1"/>
      <c r="J8" s="55"/>
      <c r="K8" s="55"/>
    </row>
    <row r="9" spans="1:13" ht="58.5" customHeight="1">
      <c r="A9" s="9" t="s">
        <v>2</v>
      </c>
      <c r="B9" s="10" t="s">
        <v>3</v>
      </c>
      <c r="C9" s="12" t="s">
        <v>457</v>
      </c>
      <c r="D9" s="143" t="s">
        <v>458</v>
      </c>
      <c r="E9" s="15" t="s">
        <v>4</v>
      </c>
      <c r="F9" s="9" t="s">
        <v>5</v>
      </c>
      <c r="G9" s="184" t="s">
        <v>461</v>
      </c>
      <c r="H9" s="185"/>
      <c r="I9" s="13" t="s">
        <v>6</v>
      </c>
      <c r="J9" s="57" t="s">
        <v>416</v>
      </c>
      <c r="K9" s="58" t="s">
        <v>417</v>
      </c>
      <c r="L9" s="58" t="s">
        <v>455</v>
      </c>
      <c r="M9" s="87" t="s">
        <v>7</v>
      </c>
    </row>
    <row r="10" spans="1:13" s="31" customFormat="1" ht="21.75" customHeight="1">
      <c r="A10" s="21">
        <v>1</v>
      </c>
      <c r="B10" s="3" t="s">
        <v>388</v>
      </c>
      <c r="C10" s="6" t="s">
        <v>389</v>
      </c>
      <c r="D10" s="7" t="s">
        <v>390</v>
      </c>
      <c r="E10" s="17" t="s">
        <v>391</v>
      </c>
      <c r="F10" s="3" t="s">
        <v>392</v>
      </c>
      <c r="G10" s="6" t="s">
        <v>12</v>
      </c>
      <c r="H10" s="25" t="s">
        <v>462</v>
      </c>
      <c r="I10" s="19">
        <v>0.7</v>
      </c>
      <c r="J10" s="71">
        <f>5490000/5</f>
        <v>1098000</v>
      </c>
      <c r="K10" s="68">
        <f>4123488.6+1188000+1098000</f>
        <v>6409488.5999999996</v>
      </c>
      <c r="L10" s="64">
        <f t="shared" ref="L10:L17" si="0">(J10+K10)*0.7</f>
        <v>5255242.0199999996</v>
      </c>
      <c r="M10" s="180" t="s">
        <v>438</v>
      </c>
    </row>
    <row r="11" spans="1:13" s="31" customFormat="1" ht="21.75" customHeight="1">
      <c r="A11" s="22">
        <v>2</v>
      </c>
      <c r="B11" s="3" t="s">
        <v>401</v>
      </c>
      <c r="C11" s="18" t="s">
        <v>253</v>
      </c>
      <c r="D11" s="7" t="s">
        <v>402</v>
      </c>
      <c r="E11" s="17" t="s">
        <v>403</v>
      </c>
      <c r="F11" s="3" t="s">
        <v>404</v>
      </c>
      <c r="G11" s="6" t="s">
        <v>11</v>
      </c>
      <c r="H11" s="25" t="s">
        <v>462</v>
      </c>
      <c r="I11" s="19">
        <v>0.7</v>
      </c>
      <c r="J11" s="71">
        <f>3780000/5</f>
        <v>756000</v>
      </c>
      <c r="K11" s="70">
        <f>3465000+756000</f>
        <v>4221000</v>
      </c>
      <c r="L11" s="64">
        <f t="shared" si="0"/>
        <v>3483900</v>
      </c>
      <c r="M11" s="181"/>
    </row>
    <row r="12" spans="1:13" s="31" customFormat="1" ht="21.75" customHeight="1">
      <c r="A12" s="34">
        <v>3</v>
      </c>
      <c r="B12" s="37" t="s">
        <v>405</v>
      </c>
      <c r="C12" s="24" t="s">
        <v>320</v>
      </c>
      <c r="D12" s="25" t="s">
        <v>160</v>
      </c>
      <c r="E12" s="26" t="s">
        <v>374</v>
      </c>
      <c r="F12" s="23" t="s">
        <v>404</v>
      </c>
      <c r="G12" s="24" t="s">
        <v>211</v>
      </c>
      <c r="H12" s="25" t="s">
        <v>462</v>
      </c>
      <c r="I12" s="32">
        <v>0.7</v>
      </c>
      <c r="J12" s="71">
        <f>3780000/5</f>
        <v>756000</v>
      </c>
      <c r="K12" s="70">
        <f>3465000+756000</f>
        <v>4221000</v>
      </c>
      <c r="L12" s="73">
        <f t="shared" si="0"/>
        <v>3483900</v>
      </c>
      <c r="M12" s="182"/>
    </row>
    <row r="13" spans="1:13" s="31" customFormat="1" ht="21.75" customHeight="1">
      <c r="A13" s="22">
        <v>4</v>
      </c>
      <c r="B13" s="35" t="s">
        <v>382</v>
      </c>
      <c r="C13" s="6" t="s">
        <v>383</v>
      </c>
      <c r="D13" s="45" t="s">
        <v>384</v>
      </c>
      <c r="E13" s="17" t="s">
        <v>385</v>
      </c>
      <c r="F13" s="3" t="s">
        <v>386</v>
      </c>
      <c r="G13" s="156" t="s">
        <v>387</v>
      </c>
      <c r="H13" s="25" t="s">
        <v>462</v>
      </c>
      <c r="I13" s="20">
        <v>0.7</v>
      </c>
      <c r="J13" s="50">
        <v>0</v>
      </c>
      <c r="K13" s="70">
        <f>2983939.2+965142+594000+594000</f>
        <v>5137081.2</v>
      </c>
      <c r="L13" s="64">
        <f t="shared" si="0"/>
        <v>3595956.84</v>
      </c>
      <c r="M13" s="183" t="s">
        <v>439</v>
      </c>
    </row>
    <row r="14" spans="1:13" s="31" customFormat="1" ht="21.75" customHeight="1">
      <c r="A14" s="34">
        <v>5</v>
      </c>
      <c r="B14" s="3" t="s">
        <v>410</v>
      </c>
      <c r="C14" s="29" t="s">
        <v>265</v>
      </c>
      <c r="D14" s="47" t="s">
        <v>111</v>
      </c>
      <c r="E14" s="16" t="s">
        <v>221</v>
      </c>
      <c r="F14" s="3" t="s">
        <v>392</v>
      </c>
      <c r="G14" s="152" t="s">
        <v>41</v>
      </c>
      <c r="H14" s="25" t="s">
        <v>462</v>
      </c>
      <c r="I14" s="19">
        <v>0.7</v>
      </c>
      <c r="J14" s="50">
        <v>0</v>
      </c>
      <c r="K14" s="70">
        <f>4717488.6+990000</f>
        <v>5707488.5999999996</v>
      </c>
      <c r="L14" s="69">
        <f t="shared" si="0"/>
        <v>3995242.0199999996</v>
      </c>
      <c r="M14" s="181"/>
    </row>
    <row r="15" spans="1:13" s="31" customFormat="1" ht="21.75" customHeight="1">
      <c r="A15" s="22">
        <v>6</v>
      </c>
      <c r="B15" s="3" t="s">
        <v>393</v>
      </c>
      <c r="C15" s="6" t="s">
        <v>394</v>
      </c>
      <c r="D15" s="45" t="s">
        <v>395</v>
      </c>
      <c r="E15" s="17" t="s">
        <v>396</v>
      </c>
      <c r="F15" s="3" t="s">
        <v>392</v>
      </c>
      <c r="G15" s="6" t="s">
        <v>397</v>
      </c>
      <c r="H15" s="25" t="s">
        <v>462</v>
      </c>
      <c r="I15" s="19">
        <v>0.7</v>
      </c>
      <c r="J15" s="50">
        <v>0</v>
      </c>
      <c r="K15" s="70">
        <f>4123488.6+1098000</f>
        <v>5221488.5999999996</v>
      </c>
      <c r="L15" s="64">
        <f t="shared" si="0"/>
        <v>3655042.0199999996</v>
      </c>
      <c r="M15" s="181"/>
    </row>
    <row r="16" spans="1:13" s="31" customFormat="1" ht="21.75" customHeight="1">
      <c r="A16" s="34">
        <v>7</v>
      </c>
      <c r="B16" s="3" t="s">
        <v>406</v>
      </c>
      <c r="C16" s="6" t="s">
        <v>407</v>
      </c>
      <c r="D16" s="45" t="s">
        <v>408</v>
      </c>
      <c r="E16" s="17" t="s">
        <v>409</v>
      </c>
      <c r="F16" s="3" t="s">
        <v>392</v>
      </c>
      <c r="G16" s="6" t="s">
        <v>11</v>
      </c>
      <c r="H16" s="25" t="s">
        <v>462</v>
      </c>
      <c r="I16" s="19">
        <v>0.7</v>
      </c>
      <c r="J16" s="50">
        <v>0</v>
      </c>
      <c r="K16" s="70">
        <f>4123488.6+990000+594000+1188000</f>
        <v>6895488.5999999996</v>
      </c>
      <c r="L16" s="64">
        <f t="shared" si="0"/>
        <v>4826842.0199999996</v>
      </c>
      <c r="M16" s="181"/>
    </row>
    <row r="17" spans="1:13" s="31" customFormat="1" ht="21.75" customHeight="1">
      <c r="A17" s="42">
        <v>8</v>
      </c>
      <c r="B17" s="23" t="s">
        <v>398</v>
      </c>
      <c r="C17" s="24" t="s">
        <v>399</v>
      </c>
      <c r="D17" s="46" t="s">
        <v>312</v>
      </c>
      <c r="E17" s="26" t="s">
        <v>400</v>
      </c>
      <c r="F17" s="23" t="s">
        <v>392</v>
      </c>
      <c r="G17" s="24" t="s">
        <v>12</v>
      </c>
      <c r="H17" s="25" t="s">
        <v>462</v>
      </c>
      <c r="I17" s="32">
        <v>0.7</v>
      </c>
      <c r="J17" s="54">
        <v>0</v>
      </c>
      <c r="K17" s="72">
        <f>4717488.6+1098000+594000</f>
        <v>6409488.5999999996</v>
      </c>
      <c r="L17" s="73">
        <f t="shared" si="0"/>
        <v>4486642.0199999996</v>
      </c>
      <c r="M17" s="182"/>
    </row>
    <row r="18" spans="1:13" s="51" customFormat="1" ht="21.75" customHeight="1">
      <c r="A18" s="170" t="s">
        <v>428</v>
      </c>
      <c r="B18" s="171"/>
      <c r="C18" s="171"/>
      <c r="D18" s="171"/>
      <c r="E18" s="171"/>
      <c r="F18" s="171"/>
      <c r="G18" s="171"/>
      <c r="H18" s="172"/>
      <c r="I18" s="145"/>
      <c r="J18" s="48">
        <f>SUM(J10:J17)</f>
        <v>2610000</v>
      </c>
      <c r="K18" s="74">
        <f>SUM(K10:K17)</f>
        <v>44222524.200000003</v>
      </c>
      <c r="L18" s="75">
        <f>SUM(L10:L17)</f>
        <v>32782766.939999998</v>
      </c>
      <c r="M18" s="86"/>
    </row>
    <row r="20" spans="1:13" ht="15.75">
      <c r="B20" s="82" t="s">
        <v>456</v>
      </c>
      <c r="C20" s="83"/>
      <c r="D20" s="83"/>
      <c r="E20" s="84"/>
      <c r="F20" s="83"/>
      <c r="G20" s="83"/>
      <c r="H20" s="83"/>
      <c r="I20" s="83"/>
      <c r="J20" s="85"/>
    </row>
    <row r="21" spans="1:13" ht="12.75" customHeight="1"/>
    <row r="22" spans="1:13" s="2" customFormat="1" ht="15.75">
      <c r="A22" s="157" t="s">
        <v>433</v>
      </c>
      <c r="B22" s="157"/>
      <c r="C22" s="157"/>
      <c r="D22" s="167" t="s">
        <v>429</v>
      </c>
      <c r="E22" s="167"/>
      <c r="F22" s="167"/>
      <c r="G22" s="167"/>
      <c r="H22" s="167"/>
      <c r="I22" s="167"/>
      <c r="J22" s="167"/>
      <c r="K22" s="168" t="s">
        <v>431</v>
      </c>
      <c r="L22" s="168"/>
      <c r="M22" s="168"/>
    </row>
    <row r="23" spans="1:13" s="2" customFormat="1" ht="15.75">
      <c r="D23" s="167" t="s">
        <v>430</v>
      </c>
      <c r="E23" s="167"/>
      <c r="F23" s="167"/>
      <c r="G23" s="167"/>
      <c r="H23" s="167"/>
      <c r="I23" s="167"/>
      <c r="J23" s="167"/>
      <c r="K23" s="168" t="s">
        <v>432</v>
      </c>
      <c r="L23" s="168"/>
      <c r="M23" s="168"/>
    </row>
    <row r="24" spans="1:13" s="2" customFormat="1" ht="15.75">
      <c r="E24" s="88"/>
      <c r="J24" s="89"/>
      <c r="K24" s="89"/>
      <c r="L24" s="89"/>
      <c r="M24" s="89"/>
    </row>
    <row r="25" spans="1:13" s="2" customFormat="1" ht="15.75">
      <c r="E25" s="88"/>
      <c r="J25" s="89"/>
      <c r="K25" s="89"/>
      <c r="L25" s="89"/>
      <c r="M25" s="89"/>
    </row>
    <row r="26" spans="1:13" s="2" customFormat="1" ht="15.75">
      <c r="E26" s="88"/>
      <c r="J26" s="89"/>
      <c r="K26" s="169" t="s">
        <v>466</v>
      </c>
      <c r="L26" s="169"/>
      <c r="M26" s="169"/>
    </row>
    <row r="27" spans="1:13" s="2" customFormat="1" ht="15.75">
      <c r="E27" s="88"/>
      <c r="J27" s="89"/>
      <c r="K27" s="89"/>
      <c r="L27" s="89"/>
      <c r="M27" s="89"/>
    </row>
    <row r="28" spans="1:13" s="2" customFormat="1" ht="15.75">
      <c r="E28" s="88"/>
      <c r="J28" s="89"/>
      <c r="K28" s="89"/>
      <c r="L28" s="89"/>
      <c r="M28" s="89"/>
    </row>
    <row r="29" spans="1:13" s="2" customFormat="1" ht="15.75">
      <c r="A29" s="157" t="s">
        <v>434</v>
      </c>
      <c r="B29" s="157"/>
      <c r="C29" s="157"/>
      <c r="D29" s="167" t="s">
        <v>435</v>
      </c>
      <c r="E29" s="167"/>
      <c r="F29" s="167"/>
      <c r="G29" s="167"/>
      <c r="H29" s="167"/>
      <c r="I29" s="167"/>
      <c r="J29" s="167"/>
      <c r="K29" s="168" t="s">
        <v>436</v>
      </c>
      <c r="L29" s="168"/>
      <c r="M29" s="168"/>
    </row>
    <row r="30" spans="1:13" s="2" customFormat="1" ht="15.75">
      <c r="E30" s="88"/>
      <c r="J30" s="89"/>
      <c r="K30" s="89"/>
      <c r="L30" s="89"/>
      <c r="M30" s="89"/>
    </row>
  </sheetData>
  <sortState ref="A9:J13">
    <sortCondition ref="D9:D13"/>
  </sortState>
  <mergeCells count="17">
    <mergeCell ref="A18:H18"/>
    <mergeCell ref="A22:C22"/>
    <mergeCell ref="A29:C29"/>
    <mergeCell ref="K22:M22"/>
    <mergeCell ref="K23:M23"/>
    <mergeCell ref="K29:M29"/>
    <mergeCell ref="D22:J22"/>
    <mergeCell ref="D23:J23"/>
    <mergeCell ref="D29:J29"/>
    <mergeCell ref="K26:M26"/>
    <mergeCell ref="L7:M7"/>
    <mergeCell ref="M10:M12"/>
    <mergeCell ref="M13:M17"/>
    <mergeCell ref="A4:M4"/>
    <mergeCell ref="A5:M5"/>
    <mergeCell ref="A6:M6"/>
    <mergeCell ref="G9:H9"/>
  </mergeCells>
  <pageMargins left="0.26" right="0.2" top="0.68" bottom="0.16" header="0.46" footer="0.21"/>
  <pageSetup paperSize="9" orientation="landscape" horizontalDpi="0" verticalDpi="0" r:id="rId1"/>
  <headerFooter>
    <oddHeader>&amp;CPage &amp;P&amp;RCNĐD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Tổng hợp</vt:lpstr>
      <vt:lpstr>BSĐK</vt:lpstr>
      <vt:lpstr>RHM</vt:lpstr>
      <vt:lpstr>YHDP</vt:lpstr>
      <vt:lpstr>Dược</vt:lpstr>
      <vt:lpstr>CNĐD</vt:lpstr>
      <vt:lpstr>BSĐK!Print_Titles</vt:lpstr>
      <vt:lpstr>Dược!Print_Titles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2016-09-09T00:31:43Z</cp:lastPrinted>
  <dcterms:created xsi:type="dcterms:W3CDTF">2016-05-12T01:37:04Z</dcterms:created>
  <dcterms:modified xsi:type="dcterms:W3CDTF">2016-09-09T00:32:10Z</dcterms:modified>
</cp:coreProperties>
</file>